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8630" windowHeight="8970" tabRatio="705" activeTab="2"/>
  </bookViews>
  <sheets>
    <sheet name="Регистрация 8-11" sheetId="33" r:id="rId1"/>
    <sheet name="Регистрация 12-18+" sheetId="34" r:id="rId2"/>
    <sheet name="Командный зачет" sheetId="32" r:id="rId3"/>
    <sheet name="Итоговый" sheetId="3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GoBack" localSheetId="1">'Регистрация 12-18+'!$K$76</definedName>
    <definedName name="_GoBack" localSheetId="0">'Регистрация 8-11'!$K$77</definedName>
    <definedName name="_xlnm.Print_Titles" localSheetId="1">'Регистрация 12-18+'!$1:$7</definedName>
    <definedName name="_xlnm.Print_Titles" localSheetId="0">'Регистрация 8-11'!$1:$7</definedName>
  </definedNames>
  <calcPr calcId="125725"/>
</workbook>
</file>

<file path=xl/calcChain.xml><?xml version="1.0" encoding="utf-8"?>
<calcChain xmlns="http://schemas.openxmlformats.org/spreadsheetml/2006/main">
  <c r="H160" i="30"/>
  <c r="G160"/>
  <c r="F160"/>
  <c r="E160"/>
  <c r="D160"/>
  <c r="H159"/>
  <c r="G159"/>
  <c r="F159"/>
  <c r="E159"/>
  <c r="D159"/>
  <c r="H158"/>
  <c r="G158"/>
  <c r="F158"/>
  <c r="E158"/>
  <c r="D158"/>
  <c r="H141" l="1"/>
  <c r="G141"/>
  <c r="F141"/>
  <c r="E141"/>
  <c r="D141"/>
  <c r="H140"/>
  <c r="G140"/>
  <c r="F140"/>
  <c r="E140"/>
  <c r="D140"/>
  <c r="H139"/>
  <c r="G139"/>
  <c r="F139"/>
  <c r="E139"/>
  <c r="D139"/>
  <c r="H138"/>
  <c r="G138"/>
  <c r="F138"/>
  <c r="E138"/>
  <c r="D138"/>
  <c r="J49" i="32" l="1"/>
  <c r="J41"/>
  <c r="J40"/>
  <c r="J38"/>
  <c r="J35"/>
  <c r="J34"/>
  <c r="J32"/>
  <c r="J29"/>
  <c r="J28"/>
  <c r="J24"/>
  <c r="I49"/>
  <c r="I44"/>
  <c r="I41"/>
  <c r="I40"/>
  <c r="I38"/>
  <c r="I35"/>
  <c r="I34"/>
  <c r="I32"/>
  <c r="I29"/>
  <c r="I28"/>
  <c r="I26"/>
  <c r="I24"/>
  <c r="F24"/>
  <c r="G24"/>
  <c r="F26"/>
  <c r="G26"/>
  <c r="F28"/>
  <c r="G28"/>
  <c r="F29"/>
  <c r="G29"/>
  <c r="F32"/>
  <c r="G32"/>
  <c r="F34"/>
  <c r="G34"/>
  <c r="F35"/>
  <c r="G35"/>
  <c r="F38"/>
  <c r="G38"/>
  <c r="F40"/>
  <c r="G40"/>
  <c r="F41"/>
  <c r="G41"/>
  <c r="F44"/>
  <c r="G44"/>
  <c r="F49"/>
  <c r="G49"/>
  <c r="H40"/>
  <c r="H38"/>
  <c r="H35"/>
  <c r="H34"/>
  <c r="H32"/>
  <c r="H29"/>
  <c r="H28"/>
  <c r="H26"/>
  <c r="J26" s="1"/>
  <c r="H24"/>
  <c r="H41"/>
  <c r="H49"/>
  <c r="H44"/>
  <c r="J44" s="1"/>
  <c r="H181" i="30" l="1"/>
  <c r="G181"/>
  <c r="F181"/>
  <c r="E181"/>
  <c r="D181"/>
  <c r="H180"/>
  <c r="G180"/>
  <c r="F180"/>
  <c r="E180"/>
  <c r="D180"/>
  <c r="H179"/>
  <c r="G179"/>
  <c r="F179"/>
  <c r="E179"/>
  <c r="D179"/>
  <c r="H178"/>
  <c r="G178"/>
  <c r="F178"/>
  <c r="E178"/>
  <c r="D178"/>
  <c r="H176" l="1"/>
  <c r="G176"/>
  <c r="F176"/>
  <c r="E176"/>
  <c r="D176"/>
  <c r="H175"/>
  <c r="G175"/>
  <c r="F175"/>
  <c r="E175"/>
  <c r="D175"/>
  <c r="H174"/>
  <c r="G174"/>
  <c r="F174"/>
  <c r="E174"/>
  <c r="D174"/>
  <c r="H173"/>
  <c r="G173"/>
  <c r="F173"/>
  <c r="E173"/>
  <c r="D173"/>
  <c r="H171" l="1"/>
  <c r="G171"/>
  <c r="F171"/>
  <c r="E171"/>
  <c r="D171"/>
  <c r="H170"/>
  <c r="G170"/>
  <c r="F170"/>
  <c r="E170"/>
  <c r="D170"/>
  <c r="H169"/>
  <c r="G169"/>
  <c r="F169"/>
  <c r="E169"/>
  <c r="D169"/>
  <c r="H168"/>
  <c r="G168"/>
  <c r="F168"/>
  <c r="E168"/>
  <c r="D168"/>
  <c r="H166" l="1"/>
  <c r="G166"/>
  <c r="F166"/>
  <c r="E166"/>
  <c r="D166"/>
  <c r="H165"/>
  <c r="G165"/>
  <c r="F165"/>
  <c r="E165"/>
  <c r="D165"/>
  <c r="H164"/>
  <c r="G164"/>
  <c r="F164"/>
  <c r="E164"/>
  <c r="D164"/>
  <c r="H163"/>
  <c r="G163"/>
  <c r="F163"/>
  <c r="E163"/>
  <c r="D163"/>
  <c r="H156" l="1"/>
  <c r="G156"/>
  <c r="F156"/>
  <c r="E156"/>
  <c r="D156"/>
  <c r="H155"/>
  <c r="G155"/>
  <c r="F155"/>
  <c r="E155"/>
  <c r="D155"/>
  <c r="H154"/>
  <c r="G154"/>
  <c r="F154"/>
  <c r="E154"/>
  <c r="D154"/>
  <c r="H153"/>
  <c r="G153"/>
  <c r="F153"/>
  <c r="E153"/>
  <c r="D153"/>
  <c r="H151" l="1"/>
  <c r="G151"/>
  <c r="F151"/>
  <c r="E151"/>
  <c r="D151"/>
  <c r="H150"/>
  <c r="G150"/>
  <c r="F150"/>
  <c r="E150"/>
  <c r="D150"/>
  <c r="H149"/>
  <c r="G149"/>
  <c r="F149"/>
  <c r="E149"/>
  <c r="D149"/>
  <c r="H148"/>
  <c r="G148"/>
  <c r="F148"/>
  <c r="E148"/>
  <c r="D148"/>
  <c r="H146" l="1"/>
  <c r="G146"/>
  <c r="F146"/>
  <c r="E146"/>
  <c r="D146"/>
  <c r="H145"/>
  <c r="G145"/>
  <c r="F145"/>
  <c r="E145"/>
  <c r="D145"/>
  <c r="H144"/>
  <c r="G144"/>
  <c r="F144"/>
  <c r="E144"/>
  <c r="D144"/>
  <c r="H143"/>
  <c r="G143"/>
  <c r="F143"/>
  <c r="E143"/>
  <c r="D143"/>
  <c r="H136" l="1"/>
  <c r="G136"/>
  <c r="F136"/>
  <c r="E136"/>
  <c r="D136"/>
  <c r="H135"/>
  <c r="G135"/>
  <c r="F135"/>
  <c r="E135"/>
  <c r="D135"/>
  <c r="H134"/>
  <c r="G134"/>
  <c r="F134"/>
  <c r="E134"/>
  <c r="D134"/>
  <c r="H133"/>
  <c r="G133"/>
  <c r="F133"/>
  <c r="E133"/>
  <c r="D133"/>
  <c r="H131" l="1"/>
  <c r="G131"/>
  <c r="F131"/>
  <c r="E131"/>
  <c r="D131"/>
  <c r="H130"/>
  <c r="G130"/>
  <c r="F130"/>
  <c r="E130"/>
  <c r="D130"/>
  <c r="H129"/>
  <c r="G129"/>
  <c r="F129"/>
  <c r="E129"/>
  <c r="D129"/>
  <c r="H128"/>
  <c r="G128"/>
  <c r="F128"/>
  <c r="E128"/>
  <c r="D128"/>
  <c r="H126" l="1"/>
  <c r="G126"/>
  <c r="F126"/>
  <c r="E126"/>
  <c r="D126"/>
  <c r="H125"/>
  <c r="G125"/>
  <c r="F125"/>
  <c r="E125"/>
  <c r="D125"/>
  <c r="H124"/>
  <c r="G124"/>
  <c r="F124"/>
  <c r="E124"/>
  <c r="D124"/>
  <c r="H123"/>
  <c r="G123"/>
  <c r="F123"/>
  <c r="E123"/>
  <c r="D123"/>
  <c r="H121" l="1"/>
  <c r="G121"/>
  <c r="F121"/>
  <c r="E121"/>
  <c r="D121"/>
  <c r="H120"/>
  <c r="G120"/>
  <c r="F120"/>
  <c r="E120"/>
  <c r="D120"/>
  <c r="H119"/>
  <c r="G119"/>
  <c r="F119"/>
  <c r="E119"/>
  <c r="D119"/>
  <c r="H118"/>
  <c r="G118"/>
  <c r="F118"/>
  <c r="E118"/>
  <c r="D118"/>
  <c r="H116" l="1"/>
  <c r="G116"/>
  <c r="F116"/>
  <c r="E116"/>
  <c r="D116"/>
  <c r="H115"/>
  <c r="G115"/>
  <c r="F115"/>
  <c r="E115"/>
  <c r="D115"/>
  <c r="H114"/>
  <c r="G114"/>
  <c r="F114"/>
  <c r="E114"/>
  <c r="D114"/>
  <c r="H113"/>
  <c r="G113"/>
  <c r="F113"/>
  <c r="E113"/>
  <c r="D113"/>
  <c r="H111" l="1"/>
  <c r="G111"/>
  <c r="F111"/>
  <c r="E111"/>
  <c r="D111"/>
  <c r="H110"/>
  <c r="G110"/>
  <c r="F110"/>
  <c r="E110"/>
  <c r="D110"/>
  <c r="H109"/>
  <c r="G109"/>
  <c r="F109"/>
  <c r="E109"/>
  <c r="D109"/>
  <c r="H108"/>
  <c r="G108"/>
  <c r="F108"/>
  <c r="E108"/>
  <c r="D108"/>
  <c r="H106" l="1"/>
  <c r="G106"/>
  <c r="F106"/>
  <c r="E106"/>
  <c r="D106"/>
  <c r="H105"/>
  <c r="G105"/>
  <c r="F105"/>
  <c r="E105"/>
  <c r="D105"/>
  <c r="H104"/>
  <c r="G104"/>
  <c r="F104"/>
  <c r="E104"/>
  <c r="D104"/>
  <c r="H103"/>
  <c r="G103"/>
  <c r="F103"/>
  <c r="E103"/>
  <c r="D103"/>
  <c r="H101" l="1"/>
  <c r="G101"/>
  <c r="F101"/>
  <c r="E101"/>
  <c r="D101"/>
  <c r="H100"/>
  <c r="G100"/>
  <c r="F100"/>
  <c r="E100"/>
  <c r="D100"/>
  <c r="H99"/>
  <c r="G99"/>
  <c r="F99"/>
  <c r="E99"/>
  <c r="D99"/>
  <c r="H98"/>
  <c r="G98"/>
  <c r="F98"/>
  <c r="E98"/>
  <c r="D98"/>
  <c r="G96" l="1"/>
  <c r="F96"/>
  <c r="E96"/>
  <c r="D96"/>
  <c r="H95"/>
  <c r="G95"/>
  <c r="F95"/>
  <c r="E95"/>
  <c r="D95"/>
  <c r="G94"/>
  <c r="F94"/>
  <c r="E94"/>
  <c r="D94"/>
  <c r="H93"/>
  <c r="G93"/>
  <c r="F93"/>
  <c r="E93"/>
  <c r="D93"/>
  <c r="H91" l="1"/>
  <c r="G91"/>
  <c r="F91"/>
  <c r="E91"/>
  <c r="D91"/>
  <c r="H90"/>
  <c r="G90"/>
  <c r="F90"/>
  <c r="E90"/>
  <c r="D90"/>
  <c r="H89"/>
  <c r="G89"/>
  <c r="F89"/>
  <c r="E89"/>
  <c r="D89"/>
  <c r="H88"/>
  <c r="G88"/>
  <c r="F88"/>
  <c r="E88"/>
  <c r="D88"/>
  <c r="H86" l="1"/>
  <c r="G86"/>
  <c r="F86"/>
  <c r="E86"/>
  <c r="D86"/>
  <c r="H85"/>
  <c r="G85"/>
  <c r="F85"/>
  <c r="E85"/>
  <c r="D85"/>
  <c r="H84"/>
  <c r="G84"/>
  <c r="F84"/>
  <c r="E84"/>
  <c r="D84"/>
  <c r="H83"/>
  <c r="G83"/>
  <c r="F83"/>
  <c r="E83"/>
  <c r="D83"/>
  <c r="H81" l="1"/>
  <c r="G81"/>
  <c r="F81"/>
  <c r="E81"/>
  <c r="D81"/>
  <c r="H80"/>
  <c r="G80"/>
  <c r="F80"/>
  <c r="E80"/>
  <c r="D80"/>
  <c r="H79"/>
  <c r="G79"/>
  <c r="F79"/>
  <c r="E79"/>
  <c r="D79"/>
  <c r="H78"/>
  <c r="G78"/>
  <c r="F78"/>
  <c r="E78"/>
  <c r="D78"/>
  <c r="H76" l="1"/>
  <c r="G76"/>
  <c r="F76"/>
  <c r="E76"/>
  <c r="D76"/>
  <c r="H75"/>
  <c r="G75"/>
  <c r="F75"/>
  <c r="E75"/>
  <c r="D75"/>
  <c r="H74"/>
  <c r="G74"/>
  <c r="F74"/>
  <c r="E74"/>
  <c r="D74"/>
  <c r="H73"/>
  <c r="G73"/>
  <c r="F73"/>
  <c r="E73"/>
  <c r="D73"/>
  <c r="H66" l="1"/>
  <c r="G66"/>
  <c r="F66"/>
  <c r="E66"/>
  <c r="D66"/>
  <c r="H65"/>
  <c r="G65"/>
  <c r="F65"/>
  <c r="E65"/>
  <c r="D65"/>
  <c r="H64"/>
  <c r="G64"/>
  <c r="F64"/>
  <c r="E64"/>
  <c r="D64"/>
  <c r="G63"/>
  <c r="F63"/>
  <c r="E63"/>
  <c r="D63"/>
  <c r="H61" l="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6" l="1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1" l="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6" l="1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1" l="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6" l="1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1" l="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6" l="1"/>
  <c r="G26"/>
  <c r="F26"/>
  <c r="E26"/>
  <c r="D26"/>
  <c r="G25"/>
  <c r="F25"/>
  <c r="E25"/>
  <c r="D25"/>
  <c r="H24"/>
  <c r="G24"/>
  <c r="F24"/>
  <c r="E24"/>
  <c r="D24"/>
  <c r="H23"/>
  <c r="G23"/>
  <c r="F23"/>
  <c r="E23"/>
  <c r="D23"/>
  <c r="D6" i="34" l="1"/>
  <c r="D6" i="33"/>
  <c r="H54" i="32"/>
  <c r="G54"/>
  <c r="F54"/>
  <c r="E54"/>
  <c r="D54"/>
  <c r="C54"/>
  <c r="L54"/>
  <c r="K54"/>
  <c r="J54"/>
  <c r="I54"/>
</calcChain>
</file>

<file path=xl/sharedStrings.xml><?xml version="1.0" encoding="utf-8"?>
<sst xmlns="http://schemas.openxmlformats.org/spreadsheetml/2006/main" count="2219" uniqueCount="749">
  <si>
    <t>Фамилия, Имя, Отчество</t>
  </si>
  <si>
    <t>Ф.И.О тренера</t>
  </si>
  <si>
    <t>Отделение (регион)</t>
  </si>
  <si>
    <t>№ жр.</t>
  </si>
  <si>
    <t>Дата  рождения</t>
  </si>
  <si>
    <t>спорт. квалиф-я</t>
  </si>
  <si>
    <t>И Т О Г О В Ы Й    П Р О Т О К О Л</t>
  </si>
  <si>
    <t>Место</t>
  </si>
  <si>
    <t>очки</t>
  </si>
  <si>
    <t>пол</t>
  </si>
  <si>
    <t>Фамилия</t>
  </si>
  <si>
    <t>Имя</t>
  </si>
  <si>
    <t>Отчество</t>
  </si>
  <si>
    <t>вид программы</t>
  </si>
  <si>
    <t>№ жреб.</t>
  </si>
  <si>
    <t>место проведения соревнований</t>
  </si>
  <si>
    <t>Дата проведения соревнований</t>
  </si>
  <si>
    <t>Вид спорта: ВСЕСТИЛЕВОЕ КАРАТЭ (номер-код вида спорта 0900001311Я)</t>
  </si>
  <si>
    <t>Точный вес</t>
  </si>
  <si>
    <t>Дата рождения</t>
  </si>
  <si>
    <t>Полных лет</t>
  </si>
  <si>
    <t>Разряд, звание</t>
  </si>
  <si>
    <t>Вид программы</t>
  </si>
  <si>
    <t>Регион</t>
  </si>
  <si>
    <t>Тренер</t>
  </si>
  <si>
    <t xml:space="preserve">П Р О Т О К О Л      Р Е Г И С Т Р А Ц И И </t>
  </si>
  <si>
    <t>Главный судья:</t>
  </si>
  <si>
    <t>Главный секретарь:</t>
  </si>
  <si>
    <t>Главный врач соревнований:</t>
  </si>
  <si>
    <t>3</t>
  </si>
  <si>
    <t>2</t>
  </si>
  <si>
    <t>1</t>
  </si>
  <si>
    <t>№ п/п</t>
  </si>
  <si>
    <t>м</t>
  </si>
  <si>
    <t>ПК 45</t>
  </si>
  <si>
    <t xml:space="preserve">Бедоян В. Г. </t>
  </si>
  <si>
    <t>Акопян В.В.</t>
  </si>
  <si>
    <t>Липецкая область, г. Елец</t>
  </si>
  <si>
    <t>М</t>
  </si>
  <si>
    <t>Максим</t>
  </si>
  <si>
    <t>Кирилл</t>
  </si>
  <si>
    <t>Данила</t>
  </si>
  <si>
    <t>Алексей</t>
  </si>
  <si>
    <t>Александр</t>
  </si>
  <si>
    <t>Матвей</t>
  </si>
  <si>
    <t>Тимофей</t>
  </si>
  <si>
    <t>Ж</t>
  </si>
  <si>
    <t>Вадим</t>
  </si>
  <si>
    <t>Иван</t>
  </si>
  <si>
    <t>Андрей</t>
  </si>
  <si>
    <t>Никита</t>
  </si>
  <si>
    <t>Евгений</t>
  </si>
  <si>
    <t>Денис</t>
  </si>
  <si>
    <t>ж</t>
  </si>
  <si>
    <t>Алексеевич</t>
  </si>
  <si>
    <t>Алексеевна</t>
  </si>
  <si>
    <t>Витальевна</t>
  </si>
  <si>
    <t xml:space="preserve">Юрий </t>
  </si>
  <si>
    <t>ПК</t>
  </si>
  <si>
    <t>Максимович</t>
  </si>
  <si>
    <t>Сергей</t>
  </si>
  <si>
    <t>Илья</t>
  </si>
  <si>
    <t>Тимур</t>
  </si>
  <si>
    <t>Русланович</t>
  </si>
  <si>
    <t xml:space="preserve">Долгов </t>
  </si>
  <si>
    <t>Милена</t>
  </si>
  <si>
    <t>Артем</t>
  </si>
  <si>
    <t>Александрович</t>
  </si>
  <si>
    <t>Владислав</t>
  </si>
  <si>
    <t>Константин</t>
  </si>
  <si>
    <t xml:space="preserve">Краснобородько </t>
  </si>
  <si>
    <t>Дмитриевич</t>
  </si>
  <si>
    <t>Бедоян В.Г</t>
  </si>
  <si>
    <t xml:space="preserve">Рыбкин </t>
  </si>
  <si>
    <t>Валерьевич</t>
  </si>
  <si>
    <t xml:space="preserve">Шкатов </t>
  </si>
  <si>
    <t xml:space="preserve">Жирков </t>
  </si>
  <si>
    <t>Егор</t>
  </si>
  <si>
    <t>Владимирович</t>
  </si>
  <si>
    <t>Николаевич</t>
  </si>
  <si>
    <t xml:space="preserve">Рыжков </t>
  </si>
  <si>
    <t>Дмитрий</t>
  </si>
  <si>
    <t>Сергеевич</t>
  </si>
  <si>
    <t>Малютин</t>
  </si>
  <si>
    <t>Владиславович</t>
  </si>
  <si>
    <t>Алексеев</t>
  </si>
  <si>
    <t>Федор</t>
  </si>
  <si>
    <t>Михайлович</t>
  </si>
  <si>
    <t xml:space="preserve">Сапиро </t>
  </si>
  <si>
    <t>Роман</t>
  </si>
  <si>
    <t>Марк</t>
  </si>
  <si>
    <t>Юрьевич</t>
  </si>
  <si>
    <t>Адерихин</t>
  </si>
  <si>
    <t>Захар</t>
  </si>
  <si>
    <t xml:space="preserve">Соколенко </t>
  </si>
  <si>
    <t>Кристина</t>
  </si>
  <si>
    <t>Сергеевна</t>
  </si>
  <si>
    <t>Полина</t>
  </si>
  <si>
    <t>Гугнина </t>
  </si>
  <si>
    <t>Виктория </t>
  </si>
  <si>
    <t>Сергеевна </t>
  </si>
  <si>
    <t>10 </t>
  </si>
  <si>
    <t>Кретов </t>
  </si>
  <si>
    <t>Арсений </t>
  </si>
  <si>
    <t>Валентинович </t>
  </si>
  <si>
    <t>17.05.2007 </t>
  </si>
  <si>
    <t>8 </t>
  </si>
  <si>
    <t>Николаев Э.Б.</t>
  </si>
  <si>
    <t>26.01.2003 </t>
  </si>
  <si>
    <t>Криворучка</t>
  </si>
  <si>
    <t>Антакова Е.В.</t>
  </si>
  <si>
    <t xml:space="preserve">Максимова </t>
  </si>
  <si>
    <t>Алина</t>
  </si>
  <si>
    <t>Андреевич</t>
  </si>
  <si>
    <t>Беленьких</t>
  </si>
  <si>
    <t>Любовь</t>
  </si>
  <si>
    <t>Александровна</t>
  </si>
  <si>
    <t>Крассовский</t>
  </si>
  <si>
    <t xml:space="preserve">Горелкин </t>
  </si>
  <si>
    <t>Айриян А.И.</t>
  </si>
  <si>
    <t xml:space="preserve">Маторина </t>
  </si>
  <si>
    <t xml:space="preserve">Ландышева </t>
  </si>
  <si>
    <t xml:space="preserve">Загарий </t>
  </si>
  <si>
    <t xml:space="preserve">Мелехин </t>
  </si>
  <si>
    <t>Руслан</t>
  </si>
  <si>
    <t>Даниил</t>
  </si>
  <si>
    <t xml:space="preserve">Толстов </t>
  </si>
  <si>
    <t xml:space="preserve">Левин </t>
  </si>
  <si>
    <t>Зянчурин</t>
  </si>
  <si>
    <t>Фомин Ю.Ю.</t>
  </si>
  <si>
    <t>Мелихов</t>
  </si>
  <si>
    <t>Геннадьевна</t>
  </si>
  <si>
    <t>Виктория</t>
  </si>
  <si>
    <t>Владиславовна</t>
  </si>
  <si>
    <t>Белоглазова</t>
  </si>
  <si>
    <t>Ульяна</t>
  </si>
  <si>
    <t>Артёмовна</t>
  </si>
  <si>
    <t>Семянников</t>
  </si>
  <si>
    <t>Булычева</t>
  </si>
  <si>
    <t>Варвара</t>
  </si>
  <si>
    <t>Данииловна</t>
  </si>
  <si>
    <t>Викторович</t>
  </si>
  <si>
    <t>Кобзарь</t>
  </si>
  <si>
    <t>Дорохин</t>
  </si>
  <si>
    <t>Белых</t>
  </si>
  <si>
    <t>Ярослав</t>
  </si>
  <si>
    <t>Павлович</t>
  </si>
  <si>
    <t>ПК 40</t>
  </si>
  <si>
    <t>ПК 50</t>
  </si>
  <si>
    <t>Иванович</t>
  </si>
  <si>
    <t>Цуканов А.С.</t>
  </si>
  <si>
    <t>Михаил</t>
  </si>
  <si>
    <t>Евгеньевич</t>
  </si>
  <si>
    <t>Чернухина Д.Д.</t>
  </si>
  <si>
    <t>Шахов Е.В.</t>
  </si>
  <si>
    <t>Эдуардович</t>
  </si>
  <si>
    <t>Михайловна</t>
  </si>
  <si>
    <t>Токарева</t>
  </si>
  <si>
    <t>Дарья</t>
  </si>
  <si>
    <t>Рустамовна</t>
  </si>
  <si>
    <t>Мария</t>
  </si>
  <si>
    <t>Олегович</t>
  </si>
  <si>
    <t>Романович</t>
  </si>
  <si>
    <t>Фомкин</t>
  </si>
  <si>
    <t>Вячеславович</t>
  </si>
  <si>
    <t>Анатолий</t>
  </si>
  <si>
    <t>Константинович</t>
  </si>
  <si>
    <t>Мушкет</t>
  </si>
  <si>
    <t>Алена</t>
  </si>
  <si>
    <t>Андреевна</t>
  </si>
  <si>
    <t>Титов</t>
  </si>
  <si>
    <t>Владимир</t>
  </si>
  <si>
    <t>Болдырев</t>
  </si>
  <si>
    <t>Анатольевич</t>
  </si>
  <si>
    <t>Соломахин</t>
  </si>
  <si>
    <t>Савин</t>
  </si>
  <si>
    <t>Вадимович</t>
  </si>
  <si>
    <t>Игорь</t>
  </si>
  <si>
    <t>Геннадьевич</t>
  </si>
  <si>
    <t>Павел</t>
  </si>
  <si>
    <t>Екатерина</t>
  </si>
  <si>
    <t>Игоревич</t>
  </si>
  <si>
    <t>Георгий</t>
  </si>
  <si>
    <t>Данил</t>
  </si>
  <si>
    <t>Попов И.В.</t>
  </si>
  <si>
    <t>Таксопуло</t>
  </si>
  <si>
    <t>Родимов</t>
  </si>
  <si>
    <t>Орлов</t>
  </si>
  <si>
    <t>Ковалев</t>
  </si>
  <si>
    <t>Рычкова</t>
  </si>
  <si>
    <t>Ксения</t>
  </si>
  <si>
    <t>Иванов</t>
  </si>
  <si>
    <t>Кобзев М.А.</t>
  </si>
  <si>
    <t>Шарандин</t>
  </si>
  <si>
    <t>Витальевич</t>
  </si>
  <si>
    <t>Кирюхин</t>
  </si>
  <si>
    <t>Большаков</t>
  </si>
  <si>
    <t>Майоров</t>
  </si>
  <si>
    <t>Казьмин</t>
  </si>
  <si>
    <t>Сальков П.С.</t>
  </si>
  <si>
    <t>Богдан</t>
  </si>
  <si>
    <t>Акопян А.В.</t>
  </si>
  <si>
    <t>Али</t>
  </si>
  <si>
    <t>Акопян А.В</t>
  </si>
  <si>
    <t>Бейк Е.В.</t>
  </si>
  <si>
    <t>Демид</t>
  </si>
  <si>
    <t>Валерий</t>
  </si>
  <si>
    <t>Новицкий</t>
  </si>
  <si>
    <t>Аверин</t>
  </si>
  <si>
    <t>Трубицын</t>
  </si>
  <si>
    <t>Антон</t>
  </si>
  <si>
    <t>Зиборов</t>
  </si>
  <si>
    <t>Арсений</t>
  </si>
  <si>
    <t>Дмитриенко</t>
  </si>
  <si>
    <t>Король</t>
  </si>
  <si>
    <t>Ляшок</t>
  </si>
  <si>
    <t>Меркулов</t>
  </si>
  <si>
    <t>Вишняков</t>
  </si>
  <si>
    <t>Митяев</t>
  </si>
  <si>
    <t>Гордеев</t>
  </si>
  <si>
    <t>Анастасия</t>
  </si>
  <si>
    <t>Александра</t>
  </si>
  <si>
    <t>Валерия</t>
  </si>
  <si>
    <t>Лукина</t>
  </si>
  <si>
    <t>Вероника</t>
  </si>
  <si>
    <t>Попова</t>
  </si>
  <si>
    <t>Татьяна</t>
  </si>
  <si>
    <t>Бурков</t>
  </si>
  <si>
    <t>Григорий</t>
  </si>
  <si>
    <t>Голубев</t>
  </si>
  <si>
    <t>Глеб</t>
  </si>
  <si>
    <t>Вячеслав</t>
  </si>
  <si>
    <t>Араратович</t>
  </si>
  <si>
    <t>Кривоносов</t>
  </si>
  <si>
    <t>Черных</t>
  </si>
  <si>
    <t>Горбунов</t>
  </si>
  <si>
    <t xml:space="preserve">Пронин </t>
  </si>
  <si>
    <t>Станиславович</t>
  </si>
  <si>
    <t>Глотов</t>
  </si>
  <si>
    <t>Рыжков</t>
  </si>
  <si>
    <t>Карагезов</t>
  </si>
  <si>
    <t>ПК, юноши (7 лет), до 25 кг</t>
  </si>
  <si>
    <t>ПК, юноши (7 лет), до 30 кг</t>
  </si>
  <si>
    <t>ПК, юноши (7 лет),  30+ кг</t>
  </si>
  <si>
    <t>ПК, юноши (8-9 лет),  до 27 кг</t>
  </si>
  <si>
    <t>ПК, юноши (10-11 лет),   45 + кг</t>
  </si>
  <si>
    <t>ПК, юноши (12-13 лет),    до 55 кг</t>
  </si>
  <si>
    <t>ПК, Девушки (10-11 лет),   40 + кг</t>
  </si>
  <si>
    <t>ПК, Девушки (12-13 лет),    до 45 кг</t>
  </si>
  <si>
    <t>Командные</t>
  </si>
  <si>
    <t>Личные тренерские</t>
  </si>
  <si>
    <t>1+2+3</t>
  </si>
  <si>
    <t xml:space="preserve">1+2 </t>
  </si>
  <si>
    <t>Хрепко В.А.</t>
  </si>
  <si>
    <t>Калугин В.А.</t>
  </si>
  <si>
    <t>Власов В.В.</t>
  </si>
  <si>
    <t>Борисенко А.И.</t>
  </si>
  <si>
    <t>Козлов А.Э.</t>
  </si>
  <si>
    <t>Моисеев И.Н.</t>
  </si>
  <si>
    <t>г.Задонск</t>
  </si>
  <si>
    <t xml:space="preserve"> Лобеев А.А.</t>
  </si>
  <si>
    <t>Анаян О.Г.</t>
  </si>
  <si>
    <t>Топоркова О.В.</t>
  </si>
  <si>
    <t>Конышев С.В.</t>
  </si>
  <si>
    <t xml:space="preserve">Бедоян В.Г
</t>
  </si>
  <si>
    <t>Горбунов А.С</t>
  </si>
  <si>
    <t xml:space="preserve">Цуканов А.С.
</t>
  </si>
  <si>
    <t xml:space="preserve">Николаев Э.Б. </t>
  </si>
  <si>
    <t>Басова А.В.</t>
  </si>
  <si>
    <t>Кульбакин А.С</t>
  </si>
  <si>
    <t>Шилов Р.И.</t>
  </si>
  <si>
    <t>Тамбовская область</t>
  </si>
  <si>
    <t>Сафронов А.В.</t>
  </si>
  <si>
    <t>Семишова Н.Н.</t>
  </si>
  <si>
    <t>Кузнецова Е.Н.</t>
  </si>
  <si>
    <t xml:space="preserve">Открытый турнир Липецкой области среди детей от 8 до 11 лет 
 «Кубок памяти СТАНИСЛАВА СУСКИНА» по правилам Всестилевого каратэ
</t>
  </si>
  <si>
    <t>Елец</t>
  </si>
  <si>
    <t>Ананьева</t>
  </si>
  <si>
    <t>Гришин</t>
  </si>
  <si>
    <t>Рябцев</t>
  </si>
  <si>
    <t>Карасёв</t>
  </si>
  <si>
    <t>Анохова</t>
  </si>
  <si>
    <t xml:space="preserve">Богданов </t>
  </si>
  <si>
    <t xml:space="preserve">Ершов </t>
  </si>
  <si>
    <t>Кенарев</t>
  </si>
  <si>
    <t>Геннадиевич</t>
  </si>
  <si>
    <t xml:space="preserve">Шинкоренко </t>
  </si>
  <si>
    <t xml:space="preserve">Гулина </t>
  </si>
  <si>
    <t xml:space="preserve">Гнездилова </t>
  </si>
  <si>
    <t>Игоревна</t>
  </si>
  <si>
    <t xml:space="preserve">Шварц </t>
  </si>
  <si>
    <t xml:space="preserve">Добрин </t>
  </si>
  <si>
    <t xml:space="preserve">Глазков </t>
  </si>
  <si>
    <t>Романови</t>
  </si>
  <si>
    <t xml:space="preserve">Барчуков </t>
  </si>
  <si>
    <t xml:space="preserve">Киселев </t>
  </si>
  <si>
    <t xml:space="preserve">Никита </t>
  </si>
  <si>
    <t xml:space="preserve">Шапошников </t>
  </si>
  <si>
    <t xml:space="preserve">Алексей </t>
  </si>
  <si>
    <t xml:space="preserve">Кобзев М.А. </t>
  </si>
  <si>
    <t xml:space="preserve">Оборотов </t>
  </si>
  <si>
    <t xml:space="preserve">Полякова </t>
  </si>
  <si>
    <t>Маратовна</t>
  </si>
  <si>
    <t xml:space="preserve">Родина </t>
  </si>
  <si>
    <t xml:space="preserve">Богатиков </t>
  </si>
  <si>
    <t xml:space="preserve">Скуридин </t>
  </si>
  <si>
    <t xml:space="preserve">Елецких </t>
  </si>
  <si>
    <t xml:space="preserve">Готовкин </t>
  </si>
  <si>
    <t xml:space="preserve">Соломахин </t>
  </si>
  <si>
    <t xml:space="preserve">Кураев </t>
  </si>
  <si>
    <t xml:space="preserve">Алисов </t>
  </si>
  <si>
    <t xml:space="preserve">Дрякин </t>
  </si>
  <si>
    <t xml:space="preserve">Чистяков </t>
  </si>
  <si>
    <t xml:space="preserve">Тихонов </t>
  </si>
  <si>
    <t xml:space="preserve">Саввин </t>
  </si>
  <si>
    <t xml:space="preserve">Котов </t>
  </si>
  <si>
    <t>Михаилович</t>
  </si>
  <si>
    <t xml:space="preserve">Чудан </t>
  </si>
  <si>
    <t xml:space="preserve">Дубищев </t>
  </si>
  <si>
    <t>Куреев</t>
  </si>
  <si>
    <t xml:space="preserve">Аксёнов </t>
  </si>
  <si>
    <t>Воронеж</t>
  </si>
  <si>
    <t>Пронин</t>
  </si>
  <si>
    <t>Шишлов</t>
  </si>
  <si>
    <t>Мукасеев</t>
  </si>
  <si>
    <t>Новиков</t>
  </si>
  <si>
    <t>Артём</t>
  </si>
  <si>
    <t xml:space="preserve">Федюнин </t>
  </si>
  <si>
    <t>Рыбин</t>
  </si>
  <si>
    <t>Беспалов</t>
  </si>
  <si>
    <t>Голдобина</t>
  </si>
  <si>
    <t>Олеся</t>
  </si>
  <si>
    <t>Козлов</t>
  </si>
  <si>
    <t>ПК-30</t>
  </si>
  <si>
    <t>Грязи КАТАНА</t>
  </si>
  <si>
    <t>Коршунова</t>
  </si>
  <si>
    <t>Ирина</t>
  </si>
  <si>
    <t>Валентиновна</t>
  </si>
  <si>
    <t>ПК-40</t>
  </si>
  <si>
    <t>Истомина</t>
  </si>
  <si>
    <t>Несмеянов</t>
  </si>
  <si>
    <t>Юлия</t>
  </si>
  <si>
    <t>ПК-35</t>
  </si>
  <si>
    <t>Бурнацкий</t>
  </si>
  <si>
    <t xml:space="preserve">Грязи </t>
  </si>
  <si>
    <t>Демьянова</t>
  </si>
  <si>
    <t>Юрьевна</t>
  </si>
  <si>
    <t>Грязи</t>
  </si>
  <si>
    <t>Григоренко</t>
  </si>
  <si>
    <t>Меринов</t>
  </si>
  <si>
    <t>Муньков</t>
  </si>
  <si>
    <t>Конанюк</t>
  </si>
  <si>
    <t>Богданович</t>
  </si>
  <si>
    <t>Елисеева</t>
  </si>
  <si>
    <t>Диана</t>
  </si>
  <si>
    <t>Дмитриевна</t>
  </si>
  <si>
    <t>Фарафонов</t>
  </si>
  <si>
    <t>Шатских</t>
  </si>
  <si>
    <t>Задонск</t>
  </si>
  <si>
    <t>Лобеев А.А.</t>
  </si>
  <si>
    <t>Чернухин</t>
  </si>
  <si>
    <t>Кузин</t>
  </si>
  <si>
    <t>Чалов</t>
  </si>
  <si>
    <t>8 кю</t>
  </si>
  <si>
    <t>28 кг</t>
  </si>
  <si>
    <t>Москва</t>
  </si>
  <si>
    <t>Трифонов</t>
  </si>
  <si>
    <t>Ольхов</t>
  </si>
  <si>
    <t>Борислав</t>
  </si>
  <si>
    <t>43 кг</t>
  </si>
  <si>
    <t>Панасюк</t>
  </si>
  <si>
    <t>35 кг</t>
  </si>
  <si>
    <t>Малов</t>
  </si>
  <si>
    <t>Кириллович</t>
  </si>
  <si>
    <t>5 кю</t>
  </si>
  <si>
    <t>33 кг</t>
  </si>
  <si>
    <t>Харитонова</t>
  </si>
  <si>
    <t>Андреев</t>
  </si>
  <si>
    <t>Виталий</t>
  </si>
  <si>
    <t>Пажельцев</t>
  </si>
  <si>
    <t>38 кг</t>
  </si>
  <si>
    <t>Смагин</t>
  </si>
  <si>
    <t>32 кг</t>
  </si>
  <si>
    <t>Шевченко</t>
  </si>
  <si>
    <t>25 кг</t>
  </si>
  <si>
    <t>Майстренко</t>
  </si>
  <si>
    <t>Марат</t>
  </si>
  <si>
    <t>36 кг</t>
  </si>
  <si>
    <t>Барханова</t>
  </si>
  <si>
    <t>Наталья</t>
  </si>
  <si>
    <t>Евгеньевна</t>
  </si>
  <si>
    <t>34,5 кг</t>
  </si>
  <si>
    <t>До 40</t>
  </si>
  <si>
    <t>Липецк IKO</t>
  </si>
  <si>
    <t>До 45</t>
  </si>
  <si>
    <t>До 30</t>
  </si>
  <si>
    <t>До 35</t>
  </si>
  <si>
    <t>Св.45</t>
  </si>
  <si>
    <t>Макавей</t>
  </si>
  <si>
    <t>Валентинович</t>
  </si>
  <si>
    <t>Кочетков</t>
  </si>
  <si>
    <t>Гречишников</t>
  </si>
  <si>
    <t>Горбунов А.С.</t>
  </si>
  <si>
    <t>Плотников</t>
  </si>
  <si>
    <t>Тадэвосян</t>
  </si>
  <si>
    <t>Карюн</t>
  </si>
  <si>
    <t>Слукин</t>
  </si>
  <si>
    <t>Коровкин</t>
  </si>
  <si>
    <t>43.5</t>
  </si>
  <si>
    <t>Липецк KAN</t>
  </si>
  <si>
    <t xml:space="preserve">Беляев </t>
  </si>
  <si>
    <t>Полкукарова </t>
  </si>
  <si>
    <t>Анна </t>
  </si>
  <si>
    <t>Романовна </t>
  </si>
  <si>
    <t>09.01.2006 </t>
  </si>
  <si>
    <t>ПК 40</t>
  </si>
  <si>
    <t>Липецк Годзю-рю</t>
  </si>
  <si>
    <t>Николаев Э.Б. </t>
  </si>
  <si>
    <t>9 </t>
  </si>
  <si>
    <t>32 </t>
  </si>
  <si>
    <t>ПК 35</t>
  </si>
  <si>
    <t>Николаев Э.Б </t>
  </si>
  <si>
    <t>Хованских </t>
  </si>
  <si>
    <t>Андрей </t>
  </si>
  <si>
    <t>Денисович </t>
  </si>
  <si>
    <t>12.02.2006 </t>
  </si>
  <si>
    <t>Герасимов</t>
  </si>
  <si>
    <t>ПК45</t>
  </si>
  <si>
    <t xml:space="preserve">Плетнёв </t>
  </si>
  <si>
    <t xml:space="preserve">Роман </t>
  </si>
  <si>
    <t>19.07.2005.</t>
  </si>
  <si>
    <t>Россошь Сакура</t>
  </si>
  <si>
    <t xml:space="preserve">Вислогузов </t>
  </si>
  <si>
    <t xml:space="preserve">Артём </t>
  </si>
  <si>
    <t>18.02.2005.</t>
  </si>
  <si>
    <t xml:space="preserve">Николаюк </t>
  </si>
  <si>
    <t>11.09.2005.</t>
  </si>
  <si>
    <t xml:space="preserve">Диденко </t>
  </si>
  <si>
    <t xml:space="preserve">Михайлович </t>
  </si>
  <si>
    <t>06.10.2005.</t>
  </si>
  <si>
    <t xml:space="preserve">Лаптев </t>
  </si>
  <si>
    <t xml:space="preserve">Иван </t>
  </si>
  <si>
    <t>19.09.2006.</t>
  </si>
  <si>
    <t>26.07.2004.</t>
  </si>
  <si>
    <t xml:space="preserve">Пономарёв </t>
  </si>
  <si>
    <t xml:space="preserve">Александрович </t>
  </si>
  <si>
    <t>06.04.2004.</t>
  </si>
  <si>
    <t xml:space="preserve">Басова А.В. </t>
  </si>
  <si>
    <t xml:space="preserve">Меньшиков </t>
  </si>
  <si>
    <t xml:space="preserve">Михаил </t>
  </si>
  <si>
    <t>09.06.2004.</t>
  </si>
  <si>
    <t xml:space="preserve">Лузанова </t>
  </si>
  <si>
    <t xml:space="preserve">Вероника </t>
  </si>
  <si>
    <t xml:space="preserve">Владимировна </t>
  </si>
  <si>
    <t>02.09.2007.</t>
  </si>
  <si>
    <t xml:space="preserve">Батраков </t>
  </si>
  <si>
    <t>26.07.2006.</t>
  </si>
  <si>
    <t>28.</t>
  </si>
  <si>
    <t>Любитский</t>
  </si>
  <si>
    <t>Россошь с\к Химик</t>
  </si>
  <si>
    <t>Назаров</t>
  </si>
  <si>
    <t xml:space="preserve">Мухаммед </t>
  </si>
  <si>
    <t>23.052008</t>
  </si>
  <si>
    <t>Тамбовская обл</t>
  </si>
  <si>
    <t xml:space="preserve">Гаврилова </t>
  </si>
  <si>
    <t>Таисия</t>
  </si>
  <si>
    <t>Антоновна</t>
  </si>
  <si>
    <t xml:space="preserve">Жеребцов </t>
  </si>
  <si>
    <t>Ангела</t>
  </si>
  <si>
    <t>Летуновская</t>
  </si>
  <si>
    <t>35.2</t>
  </si>
  <si>
    <t>Рязанцев</t>
  </si>
  <si>
    <t>34.2</t>
  </si>
  <si>
    <t xml:space="preserve">Бокарев </t>
  </si>
  <si>
    <t xml:space="preserve">Александр </t>
  </si>
  <si>
    <t>Селеванов</t>
  </si>
  <si>
    <t>33.5</t>
  </si>
  <si>
    <t xml:space="preserve">Мишин </t>
  </si>
  <si>
    <t>Помыканов</t>
  </si>
  <si>
    <t xml:space="preserve">Артемович </t>
  </si>
  <si>
    <t>44.9</t>
  </si>
  <si>
    <t>Бедоян</t>
  </si>
  <si>
    <t>Лев</t>
  </si>
  <si>
    <t xml:space="preserve">Открытый межрегиональный турнир  по Всестилевому каратэ
 «Кубок памяти СТАНИСЛАВА СУСКИНА» 
</t>
  </si>
  <si>
    <t>Денисович</t>
  </si>
  <si>
    <t>Чулыгин</t>
  </si>
  <si>
    <t>Аркадиевич</t>
  </si>
  <si>
    <t>Василиевич</t>
  </si>
  <si>
    <t>Петрович</t>
  </si>
  <si>
    <t>Горячева</t>
  </si>
  <si>
    <t>Олеговна</t>
  </si>
  <si>
    <t>Селиверстов</t>
  </si>
  <si>
    <t>Сергеевич </t>
  </si>
  <si>
    <t>Прокофьев</t>
  </si>
  <si>
    <t>Савков</t>
  </si>
  <si>
    <t>Сарычев</t>
  </si>
  <si>
    <t>Тихомиров</t>
  </si>
  <si>
    <t>Иванникова</t>
  </si>
  <si>
    <t>Елизавета</t>
  </si>
  <si>
    <t>Хофизов</t>
  </si>
  <si>
    <t>Мухаммадазим</t>
  </si>
  <si>
    <t>Хофизович</t>
  </si>
  <si>
    <t>ПК-60</t>
  </si>
  <si>
    <t>Кадреметов</t>
  </si>
  <si>
    <t>Дамир</t>
  </si>
  <si>
    <t>Рустамович</t>
  </si>
  <si>
    <t>ПК-55</t>
  </si>
  <si>
    <t>ПК-50</t>
  </si>
  <si>
    <t>Боев</t>
  </si>
  <si>
    <t>Торосян</t>
  </si>
  <si>
    <t>Арман</t>
  </si>
  <si>
    <t>Арамович</t>
  </si>
  <si>
    <t>Ашуров</t>
  </si>
  <si>
    <t>Хайдар</t>
  </si>
  <si>
    <t>Наимович</t>
  </si>
  <si>
    <t>Антипов</t>
  </si>
  <si>
    <t>Денисов</t>
  </si>
  <si>
    <t>Кулешов</t>
  </si>
  <si>
    <t>Георгиевич</t>
  </si>
  <si>
    <t>Гурьянов</t>
  </si>
  <si>
    <t>Чиркова</t>
  </si>
  <si>
    <t>Федоровна</t>
  </si>
  <si>
    <t>Брильков</t>
  </si>
  <si>
    <t>Федерякина</t>
  </si>
  <si>
    <t>Шурухин</t>
  </si>
  <si>
    <t xml:space="preserve">Артем </t>
  </si>
  <si>
    <t>Батищев</t>
  </si>
  <si>
    <t>Чернышова</t>
  </si>
  <si>
    <t xml:space="preserve">Минаков </t>
  </si>
  <si>
    <t>Истомин</t>
  </si>
  <si>
    <t>Войкова</t>
  </si>
  <si>
    <t>Бурлаков</t>
  </si>
  <si>
    <t>Малахов</t>
  </si>
  <si>
    <t>-</t>
  </si>
  <si>
    <t>Дмитриев</t>
  </si>
  <si>
    <t>Курбатов</t>
  </si>
  <si>
    <t>Ковыршин</t>
  </si>
  <si>
    <t>Чемоданов</t>
  </si>
  <si>
    <t xml:space="preserve">Долгих </t>
  </si>
  <si>
    <t>Лунга</t>
  </si>
  <si>
    <t>Васильевич</t>
  </si>
  <si>
    <t>Кузина</t>
  </si>
  <si>
    <t>Романовна</t>
  </si>
  <si>
    <t xml:space="preserve">Вазагова </t>
  </si>
  <si>
    <t>Мзия</t>
  </si>
  <si>
    <t>Мамуковна</t>
  </si>
  <si>
    <t>Долгих</t>
  </si>
  <si>
    <t>Селиверстова</t>
  </si>
  <si>
    <t>4 кю</t>
  </si>
  <si>
    <t>Мирзоев</t>
  </si>
  <si>
    <t>Алиагаевич</t>
  </si>
  <si>
    <t>3 кю</t>
  </si>
  <si>
    <t>47 кг</t>
  </si>
  <si>
    <t>Коноплев</t>
  </si>
  <si>
    <t>51 кг</t>
  </si>
  <si>
    <t>ПК 55</t>
  </si>
  <si>
    <t>Борчев</t>
  </si>
  <si>
    <t>Семён</t>
  </si>
  <si>
    <t>Воронин</t>
  </si>
  <si>
    <t>2 кю</t>
  </si>
  <si>
    <t>54 кг</t>
  </si>
  <si>
    <t>Шабалкина</t>
  </si>
  <si>
    <t>ПК 60</t>
  </si>
  <si>
    <t>Малова</t>
  </si>
  <si>
    <t>Кирилловна</t>
  </si>
  <si>
    <t>Ельмеев</t>
  </si>
  <si>
    <t>6 кю</t>
  </si>
  <si>
    <t>50 кг</t>
  </si>
  <si>
    <t>Облецов</t>
  </si>
  <si>
    <t>Аршад</t>
  </si>
  <si>
    <t>Св.75</t>
  </si>
  <si>
    <t>52.7</t>
  </si>
  <si>
    <t>До 55</t>
  </si>
  <si>
    <t xml:space="preserve">Бедоян В.Г </t>
  </si>
  <si>
    <t xml:space="preserve">Олейников </t>
  </si>
  <si>
    <t>дмитриевич</t>
  </si>
  <si>
    <t>Св.65</t>
  </si>
  <si>
    <t>Бедоян В.Г.</t>
  </si>
  <si>
    <t>Егидес</t>
  </si>
  <si>
    <t>вадимович</t>
  </si>
  <si>
    <t>До 80</t>
  </si>
  <si>
    <t>Войлоков</t>
  </si>
  <si>
    <t xml:space="preserve">         Пузиков</t>
  </si>
  <si>
    <t>Александр.</t>
  </si>
  <si>
    <t>28.042001</t>
  </si>
  <si>
    <t>Дьяков</t>
  </si>
  <si>
    <t xml:space="preserve">Кугут </t>
  </si>
  <si>
    <t xml:space="preserve">Белотелов </t>
  </si>
  <si>
    <t>Цветков</t>
  </si>
  <si>
    <t>13 </t>
  </si>
  <si>
    <t>7 </t>
  </si>
  <si>
    <t>60 кг </t>
  </si>
  <si>
    <t>ПК 60 </t>
  </si>
  <si>
    <t xml:space="preserve">Скуратов </t>
  </si>
  <si>
    <t xml:space="preserve">Егор </t>
  </si>
  <si>
    <t>29.05.2002.</t>
  </si>
  <si>
    <t xml:space="preserve">Голенко </t>
  </si>
  <si>
    <t xml:space="preserve">Максим </t>
  </si>
  <si>
    <t>24.07.2002.</t>
  </si>
  <si>
    <t xml:space="preserve">Голубев </t>
  </si>
  <si>
    <t xml:space="preserve">Александре </t>
  </si>
  <si>
    <t>26.05.2000.</t>
  </si>
  <si>
    <t xml:space="preserve">Минеев </t>
  </si>
  <si>
    <t xml:space="preserve">Николай </t>
  </si>
  <si>
    <t xml:space="preserve">Владимирович </t>
  </si>
  <si>
    <t>08.08.2001.</t>
  </si>
  <si>
    <t xml:space="preserve">Ковтун </t>
  </si>
  <si>
    <t>27.10.2003.</t>
  </si>
  <si>
    <t xml:space="preserve">Белоусов </t>
  </si>
  <si>
    <t xml:space="preserve">Денис </t>
  </si>
  <si>
    <t>22.12.2003.</t>
  </si>
  <si>
    <t xml:space="preserve">Гриценко </t>
  </si>
  <si>
    <t xml:space="preserve">Константин </t>
  </si>
  <si>
    <t>20.07.2001.</t>
  </si>
  <si>
    <t xml:space="preserve">Панюта </t>
  </si>
  <si>
    <t>06.08.2002.</t>
  </si>
  <si>
    <t xml:space="preserve">Черноиванов </t>
  </si>
  <si>
    <t>23.01.2002.</t>
  </si>
  <si>
    <t xml:space="preserve">Чалая </t>
  </si>
  <si>
    <t>23.05.2003.</t>
  </si>
  <si>
    <t>66.</t>
  </si>
  <si>
    <t xml:space="preserve">Пугачёва </t>
  </si>
  <si>
    <t xml:space="preserve">Евгеньевна </t>
  </si>
  <si>
    <t>07.01.2004.</t>
  </si>
  <si>
    <t>39.</t>
  </si>
  <si>
    <t xml:space="preserve">Ковалёва </t>
  </si>
  <si>
    <t xml:space="preserve">Виктория </t>
  </si>
  <si>
    <t xml:space="preserve">Сергеевна </t>
  </si>
  <si>
    <t>07.06.2002.</t>
  </si>
  <si>
    <t>64.</t>
  </si>
  <si>
    <t xml:space="preserve">Козиева </t>
  </si>
  <si>
    <t xml:space="preserve">Алёна </t>
  </si>
  <si>
    <t xml:space="preserve">Александровна </t>
  </si>
  <si>
    <t>08.03.1999.</t>
  </si>
  <si>
    <t>52.</t>
  </si>
  <si>
    <t xml:space="preserve">Мхитарян </t>
  </si>
  <si>
    <t>Анжела</t>
  </si>
  <si>
    <t>Жоровна</t>
  </si>
  <si>
    <t>Лозовая</t>
  </si>
  <si>
    <t>Анжелика</t>
  </si>
  <si>
    <t>Сурков</t>
  </si>
  <si>
    <t>Шелепов</t>
  </si>
  <si>
    <t>Схоменко</t>
  </si>
  <si>
    <t>Сесёлкин</t>
  </si>
  <si>
    <t>Родион</t>
  </si>
  <si>
    <t>Загуменнова</t>
  </si>
  <si>
    <t>Георгиевна</t>
  </si>
  <si>
    <t xml:space="preserve">Третьякова </t>
  </si>
  <si>
    <t>28.112003</t>
  </si>
  <si>
    <t xml:space="preserve">Ломакин </t>
  </si>
  <si>
    <t xml:space="preserve">Проскурякова </t>
  </si>
  <si>
    <t>Валерьевна</t>
  </si>
  <si>
    <t>05.04.2002 </t>
  </si>
  <si>
    <t>30.08.2003 </t>
  </si>
  <si>
    <t>44,3 </t>
  </si>
  <si>
    <t xml:space="preserve">Сытинский </t>
  </si>
  <si>
    <t xml:space="preserve">Черников </t>
  </si>
  <si>
    <t>56.3</t>
  </si>
  <si>
    <t>51.5</t>
  </si>
  <si>
    <t>52.1</t>
  </si>
  <si>
    <t>38.2</t>
  </si>
  <si>
    <t xml:space="preserve">Ерофеев </t>
  </si>
  <si>
    <t>54.9</t>
  </si>
  <si>
    <t>Медведев</t>
  </si>
  <si>
    <t xml:space="preserve">Вячеслав </t>
  </si>
  <si>
    <t xml:space="preserve">Баранова </t>
  </si>
  <si>
    <t xml:space="preserve">Карина </t>
  </si>
  <si>
    <t>59.7</t>
  </si>
  <si>
    <t>Телепин</t>
  </si>
  <si>
    <t>Кривец</t>
  </si>
  <si>
    <t>Борисович</t>
  </si>
  <si>
    <t>Гудков</t>
  </si>
  <si>
    <t xml:space="preserve">Гриднев </t>
  </si>
  <si>
    <t>Блудов</t>
  </si>
  <si>
    <t xml:space="preserve">Кутузов </t>
  </si>
  <si>
    <t>59.9</t>
  </si>
  <si>
    <t>Фатеев</t>
  </si>
  <si>
    <t xml:space="preserve">Дмитрий </t>
  </si>
  <si>
    <t>Журавлев</t>
  </si>
  <si>
    <t>Ильич  </t>
  </si>
  <si>
    <t>Филипов</t>
  </si>
  <si>
    <t>Кормушкин Е.Г.</t>
  </si>
  <si>
    <t>Солопов</t>
  </si>
  <si>
    <t>63.2</t>
  </si>
  <si>
    <t>КормушкинЕ.Г.</t>
  </si>
  <si>
    <t>Эльмар</t>
  </si>
  <si>
    <t xml:space="preserve">Двуреченская </t>
  </si>
  <si>
    <t>Арина</t>
  </si>
  <si>
    <t>ПК, Девочки (8-9 лет),  до 26 кг</t>
  </si>
  <si>
    <t>ПК, юноши (8-9 лет),  до 37 кг</t>
  </si>
  <si>
    <t>ПК, юноши (8-9 лет),  до 33 кг</t>
  </si>
  <si>
    <t>ПК, юноши (8-9 лет),  до 29 кг</t>
  </si>
  <si>
    <t>ПК, юноши (8-9 лет),    38+ кг</t>
  </si>
  <si>
    <t>ПК, юноши (10-11 лет),   до 33 кг</t>
  </si>
  <si>
    <t>ПК, юноши (10-11 лет),   до 37 кг</t>
  </si>
  <si>
    <t>ПК, юноши (10-11 лет),   до 45 кг</t>
  </si>
  <si>
    <t>ПК, юноши (10-11 лет),   45+ кг</t>
  </si>
  <si>
    <t>ПК, юноши (12-13 лет),    до 40 кг</t>
  </si>
  <si>
    <t>ПК, юноши (12-13 лет), до 45 кг</t>
  </si>
  <si>
    <t>ПК, юноши (12-13 лет),    до 50 кг</t>
  </si>
  <si>
    <t>ПК, юноши (12-13 лет),   65 кг</t>
  </si>
  <si>
    <t>ПК, юноши (14-15 лет), до 50 кг</t>
  </si>
  <si>
    <t>ПК, юноши (14-15 лет), до 55 кг</t>
  </si>
  <si>
    <t>ПК, юноши (14-15 лет),   60 кг</t>
  </si>
  <si>
    <t>ПК, юноши (14-15 лет),   75 кг</t>
  </si>
  <si>
    <t>ПК, юноши (14-15 лет),   85 кг</t>
  </si>
  <si>
    <t>ПК, юноши (16-17 лет),   60 кг</t>
  </si>
  <si>
    <t>ПК, юноши (16-17 лет),   75кг</t>
  </si>
  <si>
    <t>ПК, Мужчины ,  80 кг</t>
  </si>
  <si>
    <t>ПК, Девочки (8-9 лет),  до 33 кг</t>
  </si>
  <si>
    <t>ПК, Девочки (8-9 лет),  35+ кг</t>
  </si>
  <si>
    <t>ПК, Девушки (10-11 лет),   до 40 кг</t>
  </si>
  <si>
    <t>ПК, Девушки (14-15 лет),   65 кг</t>
  </si>
  <si>
    <t>ПК, Девушки (14-15 лет),   60 кг</t>
  </si>
  <si>
    <t>ПК, Девушки (16-17 лет),   70 кг</t>
  </si>
  <si>
    <t>г. Москва ОФСОО «Федерация нокдаун каратэ России»</t>
  </si>
  <si>
    <t xml:space="preserve"> г.Грязи АНО КБЕ "КАТАНА"</t>
  </si>
  <si>
    <t xml:space="preserve">г. Грязи ЛРСОО «Клуб контактных видов спорта» </t>
  </si>
  <si>
    <t>г.Липецк ЛООО «Федерация кекусин-кан каратэ-до»</t>
  </si>
  <si>
    <t>г.Липецк ЛООО "Объединение Контактных Единоборств"</t>
  </si>
  <si>
    <t>г.Липецк ЛООО Клуб «Окинава Годзю-рю Каратэ-до»</t>
  </si>
  <si>
    <t>г. Россошь с\к «Сакура»</t>
  </si>
  <si>
    <t>г. Россошь с\к Химик</t>
  </si>
  <si>
    <t>ФоминЮ.Ю.</t>
  </si>
  <si>
    <t xml:space="preserve">г. Воронеж  </t>
  </si>
  <si>
    <t xml:space="preserve">НАГРАДЫ ИДУЩИЕ В ЗАЧЕТ </t>
  </si>
  <si>
    <t>Командный зачет определяется 10 лучшими наградами</t>
  </si>
  <si>
    <t>Расчет ведется по следуюему критерию</t>
  </si>
  <si>
    <t>золото=3 балла</t>
  </si>
  <si>
    <t>серебро=2 балла</t>
  </si>
  <si>
    <t>бронза=3 балла</t>
  </si>
  <si>
    <t xml:space="preserve">при равном количестве баллов в зачет </t>
  </si>
  <si>
    <t>плюсуется 11-ая награда, 12-ая, 13-ая и т.д. . Если количество баллов все равно совпадает, победитель определяется по количеству золотых, и серебрянных наград</t>
  </si>
  <si>
    <t>11-ая и последующая награда</t>
  </si>
  <si>
    <t>Из 10 наград 1*3+2*2+1*1</t>
  </si>
  <si>
    <t>2*3+3*2+5*1=17</t>
  </si>
  <si>
    <t>2*3+2*2+6*1=16</t>
  </si>
  <si>
    <t>0*3+2*2+3*1=9</t>
  </si>
  <si>
    <t>2*3+3*2+4*1=16</t>
  </si>
  <si>
    <t>0*3+2*2+1*1=5</t>
  </si>
  <si>
    <t>1*3+0*2+1*1=4</t>
  </si>
  <si>
    <t>0*3+1*2+2*1=4</t>
  </si>
  <si>
    <t>0*3+0*2+3*1=3</t>
  </si>
  <si>
    <t>6*3+2*2+2*1=24</t>
  </si>
  <si>
    <t>6*3+4*2+0*1=26</t>
  </si>
  <si>
    <r>
      <t xml:space="preserve">7*3+1*2+2*1=25 </t>
    </r>
    <r>
      <rPr>
        <sz val="10"/>
        <color rgb="FFFF0000"/>
        <rFont val="Arial Cyr"/>
        <charset val="204"/>
      </rPr>
      <t>+1</t>
    </r>
  </si>
  <si>
    <r>
      <t>5*3+5*2+0*1=25</t>
    </r>
    <r>
      <rPr>
        <sz val="10"/>
        <color rgb="FFFF0000"/>
        <rFont val="Arial Cyr"/>
        <charset val="204"/>
      </rPr>
      <t>+2</t>
    </r>
  </si>
  <si>
    <t>В случае равенства в баллах по данному критерию, победитель выявляется по количеству золотых наград, далее серебряных, далее бронзовых.</t>
  </si>
  <si>
    <t>Командное место</t>
  </si>
</sst>
</file>

<file path=xl/styles.xml><?xml version="1.0" encoding="utf-8"?>
<styleSheet xmlns="http://schemas.openxmlformats.org/spreadsheetml/2006/main">
  <numFmts count="1">
    <numFmt numFmtId="164" formatCode="dd/mm/yy;@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4"/>
      <name val="Arial Cyr"/>
      <charset val="204"/>
    </font>
    <font>
      <b/>
      <sz val="8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Arial Cyr"/>
      <charset val="204"/>
    </font>
    <font>
      <sz val="7"/>
      <name val="Arial Narrow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8"/>
      <name val="Arial Cyr"/>
      <charset val="204"/>
    </font>
    <font>
      <b/>
      <sz val="2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49" fontId="7" fillId="0" borderId="2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9" fontId="8" fillId="0" borderId="2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0" borderId="2" xfId="0" applyNumberFormat="1" applyFont="1" applyBorder="1" applyAlignment="1" applyProtection="1">
      <alignment vertical="top" wrapText="1"/>
    </xf>
    <xf numFmtId="0" fontId="7" fillId="0" borderId="2" xfId="0" applyNumberFormat="1" applyFont="1" applyBorder="1" applyAlignment="1" applyProtection="1">
      <alignment horizontal="center" vertical="top" wrapText="1"/>
    </xf>
    <xf numFmtId="14" fontId="7" fillId="0" borderId="2" xfId="0" applyNumberFormat="1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4" fontId="7" fillId="0" borderId="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14" fontId="7" fillId="0" borderId="0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4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" xfId="0" applyNumberFormat="1" applyFont="1" applyBorder="1" applyAlignment="1" applyProtection="1">
      <alignment horizontal="center" vertical="top" shrinkToFit="1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5" fillId="0" borderId="2" xfId="0" applyNumberFormat="1" applyFont="1" applyBorder="1" applyAlignment="1" applyProtection="1">
      <alignment horizontal="center" vertical="center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vertical="top"/>
    </xf>
    <xf numFmtId="0" fontId="7" fillId="0" borderId="2" xfId="0" applyNumberFormat="1" applyFont="1" applyBorder="1" applyAlignment="1" applyProtection="1">
      <alignment vertical="top"/>
      <protection locked="0"/>
    </xf>
    <xf numFmtId="0" fontId="7" fillId="4" borderId="2" xfId="0" applyNumberFormat="1" applyFont="1" applyFill="1" applyBorder="1" applyAlignment="1" applyProtection="1">
      <alignment horizontal="center" vertical="top" shrinkToFit="1"/>
    </xf>
    <xf numFmtId="0" fontId="7" fillId="5" borderId="2" xfId="0" applyNumberFormat="1" applyFont="1" applyFill="1" applyBorder="1" applyAlignment="1" applyProtection="1">
      <alignment horizontal="center" vertical="top" shrinkToFit="1"/>
    </xf>
    <xf numFmtId="0" fontId="7" fillId="6" borderId="2" xfId="0" applyNumberFormat="1" applyFont="1" applyFill="1" applyBorder="1" applyAlignment="1" applyProtection="1">
      <alignment horizontal="center" vertical="top" shrinkToFit="1"/>
    </xf>
    <xf numFmtId="0" fontId="6" fillId="0" borderId="8" xfId="0" applyFont="1" applyBorder="1" applyAlignment="1" applyProtection="1">
      <alignment horizontal="center"/>
      <protection locked="0"/>
    </xf>
    <xf numFmtId="0" fontId="0" fillId="9" borderId="6" xfId="0" applyFill="1" applyBorder="1"/>
    <xf numFmtId="0" fontId="0" fillId="8" borderId="17" xfId="0" applyFill="1" applyBorder="1"/>
    <xf numFmtId="0" fontId="0" fillId="0" borderId="0" xfId="0" applyBorder="1"/>
    <xf numFmtId="0" fontId="0" fillId="0" borderId="23" xfId="0" applyBorder="1"/>
    <xf numFmtId="0" fontId="0" fillId="0" borderId="21" xfId="0" applyBorder="1"/>
    <xf numFmtId="0" fontId="0" fillId="0" borderId="9" xfId="0" applyBorder="1"/>
    <xf numFmtId="0" fontId="0" fillId="2" borderId="6" xfId="0" applyFill="1" applyBorder="1"/>
    <xf numFmtId="0" fontId="0" fillId="2" borderId="2" xfId="0" applyFill="1" applyBorder="1"/>
    <xf numFmtId="164" fontId="6" fillId="10" borderId="15" xfId="0" applyNumberFormat="1" applyFont="1" applyFill="1" applyBorder="1" applyAlignment="1" applyProtection="1">
      <alignment horizontal="center"/>
      <protection locked="0"/>
    </xf>
    <xf numFmtId="0" fontId="0" fillId="10" borderId="6" xfId="0" applyFill="1" applyBorder="1"/>
    <xf numFmtId="0" fontId="0" fillId="10" borderId="2" xfId="0" applyFill="1" applyBorder="1"/>
    <xf numFmtId="0" fontId="0" fillId="10" borderId="3" xfId="0" applyFill="1" applyBorder="1"/>
    <xf numFmtId="0" fontId="0" fillId="4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6" fillId="0" borderId="0" xfId="0" applyFont="1"/>
    <xf numFmtId="0" fontId="0" fillId="0" borderId="21" xfId="0" applyBorder="1" applyAlignment="1">
      <alignment horizontal="center"/>
    </xf>
    <xf numFmtId="0" fontId="17" fillId="0" borderId="36" xfId="0" applyFont="1" applyBorder="1" applyAlignment="1">
      <alignment horizontal="center" vertical="top" wrapText="1"/>
    </xf>
    <xf numFmtId="0" fontId="17" fillId="0" borderId="37" xfId="0" applyFont="1" applyBorder="1" applyAlignment="1">
      <alignment horizontal="center" vertical="top" wrapText="1"/>
    </xf>
    <xf numFmtId="14" fontId="17" fillId="0" borderId="36" xfId="0" applyNumberFormat="1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0" fontId="17" fillId="0" borderId="39" xfId="0" applyFont="1" applyBorder="1" applyAlignment="1">
      <alignment horizontal="center" vertical="top" wrapText="1"/>
    </xf>
    <xf numFmtId="14" fontId="17" fillId="0" borderId="38" xfId="0" applyNumberFormat="1" applyFont="1" applyBorder="1" applyAlignment="1">
      <alignment horizontal="center" vertical="top" wrapText="1"/>
    </xf>
    <xf numFmtId="0" fontId="17" fillId="0" borderId="39" xfId="0" applyFont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14" fontId="17" fillId="0" borderId="38" xfId="0" applyNumberFormat="1" applyFont="1" applyBorder="1" applyAlignment="1">
      <alignment horizontal="center" wrapText="1"/>
    </xf>
    <xf numFmtId="14" fontId="17" fillId="0" borderId="21" xfId="0" applyNumberFormat="1" applyFont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 wrapText="1"/>
    </xf>
    <xf numFmtId="14" fontId="18" fillId="0" borderId="38" xfId="0" applyNumberFormat="1" applyFont="1" applyBorder="1" applyAlignment="1">
      <alignment horizontal="center" wrapText="1"/>
    </xf>
    <xf numFmtId="0" fontId="17" fillId="0" borderId="22" xfId="0" applyFont="1" applyBorder="1" applyAlignment="1">
      <alignment horizontal="center" vertical="top" wrapText="1"/>
    </xf>
    <xf numFmtId="14" fontId="18" fillId="0" borderId="21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17" fillId="0" borderId="36" xfId="0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wrapText="1"/>
    </xf>
    <xf numFmtId="14" fontId="17" fillId="0" borderId="36" xfId="0" applyNumberFormat="1" applyFont="1" applyFill="1" applyBorder="1" applyAlignment="1">
      <alignment horizontal="center" wrapText="1"/>
    </xf>
    <xf numFmtId="0" fontId="17" fillId="0" borderId="38" xfId="0" applyFont="1" applyFill="1" applyBorder="1" applyAlignment="1">
      <alignment horizontal="center" vertical="top" wrapText="1"/>
    </xf>
    <xf numFmtId="0" fontId="17" fillId="0" borderId="38" xfId="0" applyFont="1" applyFill="1" applyBorder="1" applyAlignment="1">
      <alignment horizontal="center" wrapText="1"/>
    </xf>
    <xf numFmtId="0" fontId="17" fillId="0" borderId="39" xfId="0" applyFont="1" applyFill="1" applyBorder="1" applyAlignment="1">
      <alignment horizontal="center" wrapText="1"/>
    </xf>
    <xf numFmtId="14" fontId="17" fillId="0" borderId="38" xfId="0" applyNumberFormat="1" applyFont="1" applyFill="1" applyBorder="1" applyAlignment="1">
      <alignment horizontal="center" wrapText="1"/>
    </xf>
    <xf numFmtId="0" fontId="14" fillId="0" borderId="0" xfId="0" applyFont="1" applyFill="1" applyAlignment="1" applyProtection="1">
      <protection locked="0"/>
    </xf>
    <xf numFmtId="0" fontId="14" fillId="0" borderId="0" xfId="0" applyFont="1" applyFill="1" applyProtection="1">
      <protection locked="0"/>
    </xf>
    <xf numFmtId="14" fontId="17" fillId="0" borderId="21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vertical="top" wrapText="1"/>
    </xf>
    <xf numFmtId="0" fontId="17" fillId="0" borderId="21" xfId="0" applyFont="1" applyFill="1" applyBorder="1" applyAlignment="1">
      <alignment vertical="top" wrapText="1"/>
    </xf>
    <xf numFmtId="0" fontId="17" fillId="0" borderId="21" xfId="0" applyFont="1" applyFill="1" applyBorder="1" applyAlignment="1">
      <alignment horizontal="center" vertical="top" wrapText="1"/>
    </xf>
    <xf numFmtId="0" fontId="17" fillId="0" borderId="40" xfId="0" applyFont="1" applyFill="1" applyBorder="1" applyAlignment="1">
      <alignment vertical="top" wrapText="1"/>
    </xf>
    <xf numFmtId="0" fontId="17" fillId="0" borderId="22" xfId="0" applyFont="1" applyFill="1" applyBorder="1" applyAlignment="1">
      <alignment vertical="top" wrapText="1"/>
    </xf>
    <xf numFmtId="0" fontId="17" fillId="0" borderId="22" xfId="0" applyFont="1" applyFill="1" applyBorder="1" applyAlignment="1">
      <alignment horizontal="center" vertical="top" wrapText="1"/>
    </xf>
    <xf numFmtId="0" fontId="17" fillId="0" borderId="40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18" fillId="0" borderId="22" xfId="0" applyFont="1" applyBorder="1" applyAlignment="1">
      <alignment horizontal="center" vertical="top" wrapText="1"/>
    </xf>
    <xf numFmtId="14" fontId="17" fillId="0" borderId="41" xfId="0" applyNumberFormat="1" applyFont="1" applyBorder="1" applyAlignment="1">
      <alignment horizontal="center" vertical="top" wrapText="1"/>
    </xf>
    <xf numFmtId="0" fontId="17" fillId="0" borderId="42" xfId="0" applyFont="1" applyBorder="1" applyAlignment="1">
      <alignment horizontal="center" vertical="top" wrapText="1"/>
    </xf>
    <xf numFmtId="0" fontId="0" fillId="12" borderId="0" xfId="0" applyFill="1" applyBorder="1" applyAlignment="1" applyProtection="1">
      <protection locked="0"/>
    </xf>
    <xf numFmtId="0" fontId="0" fillId="12" borderId="0" xfId="0" applyFill="1" applyBorder="1" applyProtection="1">
      <protection locked="0"/>
    </xf>
    <xf numFmtId="0" fontId="17" fillId="12" borderId="38" xfId="0" applyFont="1" applyFill="1" applyBorder="1" applyAlignment="1">
      <alignment horizontal="center" vertical="top" wrapText="1"/>
    </xf>
    <xf numFmtId="14" fontId="17" fillId="12" borderId="2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14" fontId="2" fillId="0" borderId="1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8" borderId="46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64" fontId="6" fillId="15" borderId="15" xfId="0" applyNumberFormat="1" applyFont="1" applyFill="1" applyBorder="1" applyAlignment="1" applyProtection="1">
      <alignment horizontal="center"/>
      <protection locked="0"/>
    </xf>
    <xf numFmtId="0" fontId="0" fillId="15" borderId="2" xfId="0" applyFill="1" applyBorder="1"/>
    <xf numFmtId="0" fontId="0" fillId="15" borderId="3" xfId="0" applyFill="1" applyBorder="1"/>
    <xf numFmtId="164" fontId="6" fillId="17" borderId="15" xfId="0" applyNumberFormat="1" applyFont="1" applyFill="1" applyBorder="1" applyAlignment="1" applyProtection="1">
      <alignment horizontal="center"/>
      <protection locked="0"/>
    </xf>
    <xf numFmtId="0" fontId="0" fillId="17" borderId="6" xfId="0" applyFill="1" applyBorder="1"/>
    <xf numFmtId="0" fontId="0" fillId="17" borderId="2" xfId="0" applyFill="1" applyBorder="1"/>
    <xf numFmtId="0" fontId="0" fillId="17" borderId="3" xfId="0" applyFill="1" applyBorder="1"/>
    <xf numFmtId="0" fontId="0" fillId="17" borderId="28" xfId="0" applyFill="1" applyBorder="1"/>
    <xf numFmtId="0" fontId="0" fillId="17" borderId="19" xfId="0" applyFill="1" applyBorder="1"/>
    <xf numFmtId="164" fontId="6" fillId="10" borderId="16" xfId="0" applyNumberFormat="1" applyFont="1" applyFill="1" applyBorder="1" applyAlignment="1" applyProtection="1">
      <alignment horizontal="center"/>
      <protection locked="0"/>
    </xf>
    <xf numFmtId="0" fontId="0" fillId="9" borderId="5" xfId="0" applyFill="1" applyBorder="1"/>
    <xf numFmtId="0" fontId="0" fillId="4" borderId="45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0" borderId="22" xfId="0" applyBorder="1"/>
    <xf numFmtId="164" fontId="6" fillId="10" borderId="35" xfId="0" applyNumberFormat="1" applyFont="1" applyFill="1" applyBorder="1" applyAlignment="1" applyProtection="1">
      <alignment horizontal="center"/>
      <protection locked="0"/>
    </xf>
    <xf numFmtId="0" fontId="0" fillId="10" borderId="54" xfId="0" applyFill="1" applyBorder="1"/>
    <xf numFmtId="0" fontId="0" fillId="8" borderId="52" xfId="0" applyFill="1" applyBorder="1"/>
    <xf numFmtId="0" fontId="0" fillId="8" borderId="55" xfId="0" applyFill="1" applyBorder="1"/>
    <xf numFmtId="0" fontId="0" fillId="8" borderId="19" xfId="0" applyFill="1" applyBorder="1"/>
    <xf numFmtId="0" fontId="0" fillId="8" borderId="28" xfId="0" applyFill="1" applyBorder="1"/>
    <xf numFmtId="164" fontId="6" fillId="15" borderId="46" xfId="0" applyNumberFormat="1" applyFont="1" applyFill="1" applyBorder="1" applyAlignment="1" applyProtection="1">
      <alignment horizontal="center"/>
      <protection locked="0"/>
    </xf>
    <xf numFmtId="0" fontId="0" fillId="15" borderId="52" xfId="0" applyFill="1" applyBorder="1"/>
    <xf numFmtId="0" fontId="0" fillId="15" borderId="55" xfId="0" applyFill="1" applyBorder="1"/>
    <xf numFmtId="164" fontId="6" fillId="15" borderId="16" xfId="0" applyNumberFormat="1" applyFont="1" applyFill="1" applyBorder="1" applyAlignment="1" applyProtection="1">
      <alignment horizontal="center"/>
      <protection locked="0"/>
    </xf>
    <xf numFmtId="0" fontId="0" fillId="15" borderId="19" xfId="0" applyFill="1" applyBorder="1"/>
    <xf numFmtId="0" fontId="0" fillId="15" borderId="28" xfId="0" applyFill="1" applyBorder="1"/>
    <xf numFmtId="164" fontId="6" fillId="17" borderId="46" xfId="0" applyNumberFormat="1" applyFont="1" applyFill="1" applyBorder="1" applyAlignment="1" applyProtection="1">
      <alignment horizontal="center"/>
      <protection locked="0"/>
    </xf>
    <xf numFmtId="164" fontId="6" fillId="17" borderId="16" xfId="0" applyNumberFormat="1" applyFont="1" applyFill="1" applyBorder="1" applyAlignment="1" applyProtection="1">
      <alignment horizontal="center"/>
      <protection locked="0"/>
    </xf>
    <xf numFmtId="164" fontId="6" fillId="11" borderId="23" xfId="0" applyNumberFormat="1" applyFont="1" applyFill="1" applyBorder="1" applyAlignment="1" applyProtection="1">
      <alignment horizontal="center" vertical="center"/>
      <protection locked="0"/>
    </xf>
    <xf numFmtId="164" fontId="6" fillId="11" borderId="9" xfId="0" applyNumberFormat="1" applyFont="1" applyFill="1" applyBorder="1" applyAlignment="1" applyProtection="1">
      <alignment horizontal="center" vertical="center"/>
      <protection locked="0"/>
    </xf>
    <xf numFmtId="0" fontId="0" fillId="11" borderId="56" xfId="0" applyFill="1" applyBorder="1"/>
    <xf numFmtId="0" fontId="0" fillId="11" borderId="57" xfId="0" applyFill="1" applyBorder="1"/>
    <xf numFmtId="0" fontId="0" fillId="11" borderId="58" xfId="0" applyFill="1" applyBorder="1"/>
    <xf numFmtId="0" fontId="0" fillId="14" borderId="17" xfId="0" applyFill="1" applyBorder="1"/>
    <xf numFmtId="0" fontId="0" fillId="14" borderId="52" xfId="0" applyFill="1" applyBorder="1"/>
    <xf numFmtId="164" fontId="6" fillId="14" borderId="16" xfId="0" applyNumberFormat="1" applyFont="1" applyFill="1" applyBorder="1" applyAlignment="1" applyProtection="1">
      <alignment horizontal="center"/>
      <protection locked="0"/>
    </xf>
    <xf numFmtId="0" fontId="0" fillId="14" borderId="18" xfId="0" applyFill="1" applyBorder="1"/>
    <xf numFmtId="0" fontId="0" fillId="14" borderId="28" xfId="0" applyFill="1" applyBorder="1"/>
    <xf numFmtId="164" fontId="6" fillId="0" borderId="34" xfId="0" applyNumberFormat="1" applyFont="1" applyBorder="1" applyAlignment="1" applyProtection="1">
      <alignment horizontal="center" vertical="center"/>
      <protection locked="0"/>
    </xf>
    <xf numFmtId="0" fontId="0" fillId="0" borderId="43" xfId="0" applyBorder="1"/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6" fillId="13" borderId="46" xfId="0" applyNumberFormat="1" applyFont="1" applyFill="1" applyBorder="1" applyAlignment="1" applyProtection="1">
      <alignment horizontal="center" vertical="center" wrapText="1"/>
      <protection locked="0"/>
    </xf>
    <xf numFmtId="164" fontId="6" fillId="13" borderId="16" xfId="0" applyNumberFormat="1" applyFont="1" applyFill="1" applyBorder="1" applyAlignment="1" applyProtection="1">
      <alignment horizontal="center" wrapText="1"/>
      <protection locked="0"/>
    </xf>
    <xf numFmtId="0" fontId="0" fillId="13" borderId="18" xfId="0" applyFill="1" applyBorder="1"/>
    <xf numFmtId="0" fontId="0" fillId="9" borderId="46" xfId="0" applyFill="1" applyBorder="1" applyAlignment="1">
      <alignment horizontal="center"/>
    </xf>
    <xf numFmtId="0" fontId="0" fillId="9" borderId="17" xfId="0" applyFill="1" applyBorder="1"/>
    <xf numFmtId="0" fontId="0" fillId="9" borderId="16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17" xfId="0" applyFill="1" applyBorder="1"/>
    <xf numFmtId="0" fontId="0" fillId="7" borderId="67" xfId="0" applyFill="1" applyBorder="1"/>
    <xf numFmtId="0" fontId="0" fillId="7" borderId="1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6" xfId="0" applyBorder="1"/>
    <xf numFmtId="0" fontId="0" fillId="0" borderId="20" xfId="0" applyBorder="1"/>
    <xf numFmtId="0" fontId="0" fillId="5" borderId="45" xfId="0" applyFont="1" applyFill="1" applyBorder="1" applyAlignment="1">
      <alignment horizontal="center"/>
    </xf>
    <xf numFmtId="0" fontId="0" fillId="8" borderId="67" xfId="0" applyFill="1" applyBorder="1"/>
    <xf numFmtId="0" fontId="0" fillId="8" borderId="16" xfId="0" applyFill="1" applyBorder="1" applyAlignment="1">
      <alignment horizontal="center"/>
    </xf>
    <xf numFmtId="0" fontId="0" fillId="8" borderId="18" xfId="0" applyFill="1" applyBorder="1"/>
    <xf numFmtId="164" fontId="6" fillId="14" borderId="35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52" xfId="0" applyFill="1" applyBorder="1"/>
    <xf numFmtId="0" fontId="0" fillId="2" borderId="55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8" xfId="0" applyFill="1" applyBorder="1"/>
    <xf numFmtId="0" fontId="17" fillId="8" borderId="46" xfId="0" applyFont="1" applyFill="1" applyBorder="1" applyAlignment="1">
      <alignment horizontal="center" vertical="top" wrapText="1"/>
    </xf>
    <xf numFmtId="0" fontId="17" fillId="8" borderId="16" xfId="0" applyFont="1" applyFill="1" applyBorder="1" applyAlignment="1">
      <alignment horizontal="center" vertical="top" wrapText="1"/>
    </xf>
    <xf numFmtId="0" fontId="0" fillId="0" borderId="23" xfId="0" applyBorder="1" applyAlignment="1"/>
    <xf numFmtId="0" fontId="0" fillId="0" borderId="23" xfId="0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2" borderId="0" xfId="0" applyFill="1"/>
    <xf numFmtId="0" fontId="0" fillId="2" borderId="67" xfId="0" applyFill="1" applyBorder="1"/>
    <xf numFmtId="0" fontId="0" fillId="2" borderId="7" xfId="0" applyFill="1" applyBorder="1"/>
    <xf numFmtId="0" fontId="0" fillId="18" borderId="7" xfId="0" applyFill="1" applyBorder="1"/>
    <xf numFmtId="0" fontId="0" fillId="18" borderId="0" xfId="0" applyFill="1"/>
    <xf numFmtId="0" fontId="0" fillId="2" borderId="31" xfId="0" applyFill="1" applyBorder="1"/>
    <xf numFmtId="0" fontId="0" fillId="2" borderId="64" xfId="0" applyFill="1" applyBorder="1"/>
    <xf numFmtId="0" fontId="0" fillId="2" borderId="68" xfId="0" applyFill="1" applyBorder="1"/>
    <xf numFmtId="0" fontId="0" fillId="18" borderId="68" xfId="0" applyFill="1" applyBorder="1"/>
    <xf numFmtId="0" fontId="0" fillId="0" borderId="57" xfId="0" applyBorder="1" applyAlignment="1">
      <alignment horizontal="center" vertical="center"/>
    </xf>
    <xf numFmtId="0" fontId="0" fillId="11" borderId="57" xfId="0" applyFill="1" applyBorder="1" applyAlignment="1">
      <alignment horizontal="center" vertical="center"/>
    </xf>
    <xf numFmtId="0" fontId="0" fillId="11" borderId="60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9" xfId="0" applyBorder="1" applyAlignment="1"/>
    <xf numFmtId="0" fontId="0" fillId="11" borderId="21" xfId="0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  <protection locked="0"/>
    </xf>
    <xf numFmtId="14" fontId="3" fillId="0" borderId="4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  <protection locked="0"/>
    </xf>
    <xf numFmtId="0" fontId="0" fillId="8" borderId="53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63" xfId="0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0" fillId="13" borderId="40" xfId="0" applyFill="1" applyBorder="1" applyAlignment="1">
      <alignment horizontal="center" vertical="center"/>
    </xf>
    <xf numFmtId="0" fontId="0" fillId="13" borderId="51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0" fillId="13" borderId="66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15" borderId="27" xfId="0" applyFill="1" applyBorder="1" applyAlignment="1">
      <alignment horizontal="center" vertical="center"/>
    </xf>
    <xf numFmtId="0" fontId="0" fillId="15" borderId="26" xfId="0" applyFill="1" applyBorder="1" applyAlignment="1">
      <alignment horizontal="center" vertical="center"/>
    </xf>
    <xf numFmtId="0" fontId="0" fillId="15" borderId="51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5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53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164" fontId="6" fillId="8" borderId="24" xfId="0" applyNumberFormat="1" applyFont="1" applyFill="1" applyBorder="1" applyAlignment="1" applyProtection="1">
      <alignment horizontal="center" vertical="center"/>
      <protection locked="0"/>
    </xf>
    <xf numFmtId="164" fontId="6" fillId="8" borderId="27" xfId="0" applyNumberFormat="1" applyFont="1" applyFill="1" applyBorder="1" applyAlignment="1" applyProtection="1">
      <alignment horizontal="center" vertical="center"/>
      <protection locked="0"/>
    </xf>
    <xf numFmtId="164" fontId="6" fillId="8" borderId="26" xfId="0" applyNumberFormat="1" applyFont="1" applyFill="1" applyBorder="1" applyAlignment="1" applyProtection="1">
      <alignment horizontal="center" vertical="center"/>
      <protection locked="0"/>
    </xf>
    <xf numFmtId="0" fontId="0" fillId="8" borderId="61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17" borderId="51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5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0" fillId="17" borderId="53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7" borderId="25" xfId="0" applyFill="1" applyBorder="1" applyAlignment="1">
      <alignment horizontal="center"/>
    </xf>
    <xf numFmtId="0" fontId="0" fillId="17" borderId="47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4" borderId="61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164" fontId="6" fillId="13" borderId="24" xfId="0" applyNumberFormat="1" applyFont="1" applyFill="1" applyBorder="1" applyAlignment="1" applyProtection="1">
      <alignment horizontal="center" vertical="center"/>
      <protection locked="0"/>
    </xf>
    <xf numFmtId="164" fontId="6" fillId="13" borderId="26" xfId="0" applyNumberFormat="1" applyFont="1" applyFill="1" applyBorder="1" applyAlignment="1" applyProtection="1">
      <alignment horizontal="center" vertical="center"/>
      <protection locked="0"/>
    </xf>
    <xf numFmtId="164" fontId="6" fillId="14" borderId="45" xfId="0" applyNumberFormat="1" applyFont="1" applyFill="1" applyBorder="1" applyAlignment="1" applyProtection="1">
      <alignment horizontal="center" vertical="center"/>
      <protection locked="0"/>
    </xf>
    <xf numFmtId="164" fontId="6" fillId="14" borderId="40" xfId="0" applyNumberFormat="1" applyFont="1" applyFill="1" applyBorder="1" applyAlignment="1" applyProtection="1">
      <alignment horizontal="center" vertical="center"/>
      <protection locked="0"/>
    </xf>
    <xf numFmtId="0" fontId="0" fillId="7" borderId="5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7" borderId="50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8" borderId="24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4" borderId="5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9" borderId="24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5" xfId="0" applyNumberFormat="1" applyFont="1" applyFill="1" applyBorder="1" applyAlignment="1" applyProtection="1">
      <alignment horizontal="center" vertical="top" wrapText="1"/>
    </xf>
    <xf numFmtId="0" fontId="7" fillId="3" borderId="6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right" vertical="top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9" fillId="15" borderId="25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22" xfId="0" applyFont="1" applyFill="1" applyBorder="1" applyAlignment="1">
      <alignment horizontal="center" vertical="center"/>
    </xf>
    <xf numFmtId="0" fontId="20" fillId="10" borderId="43" xfId="0" applyFont="1" applyFill="1" applyBorder="1" applyAlignment="1">
      <alignment horizontal="center" vertical="center"/>
    </xf>
    <xf numFmtId="0" fontId="20" fillId="10" borderId="49" xfId="0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4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8_9_&#1052;_2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2_13_&#1052;_4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2_13_&#1052;_4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2_13_&#1052;_5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2_13_&#1052;_5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2_13_&#1052;_6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4_15_&#1052;_5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4_15_&#1052;_5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4_15_&#1052;_6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4_15_&#1052;_7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4_15_&#1052;_8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8_9_&#1052;_2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6_17_&#1052;_6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6_17_&#1052;_7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&#1052;&#1091;&#1078;&#1095;&#1080;&#1085;&#1099;_&#1052;_8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&#1076;&#1077;&#1074;&#1091;&#1096;&#1082;&#1080;/&#1055;&#1050;_8_9_&#1046;_2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&#1076;&#1077;&#1074;&#1091;&#1096;&#1082;&#1080;/&#1055;&#1050;_8_9_&#1046;_3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&#1076;&#1077;&#1074;&#1091;&#1096;&#1082;&#1080;/&#1055;&#1050;_8_9_&#1046;_35+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&#1076;&#1077;&#1074;&#1091;&#1096;&#1082;&#1080;/&#1055;&#1050;_10_11_&#1046;_4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&#1076;&#1077;&#1074;&#1091;&#1096;&#1082;&#1080;/&#1055;&#1050;_10_11_&#1046;_40+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&#1076;&#1077;&#1074;&#1091;&#1096;&#1082;&#1080;/&#1055;&#1050;_12_13_&#1046;_4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&#1076;&#1077;&#1074;&#1091;&#1096;&#1082;&#1080;/&#1055;&#1050;_12_13_&#1046;_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8_9_&#1052;_3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&#1076;&#1077;&#1074;&#1091;&#1096;&#1082;&#1080;/&#1055;&#1050;_14_15_&#1046;_6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&#1076;&#1077;&#1074;&#1091;&#1096;&#1082;&#1080;/&#1055;&#1050;_16_17_&#1046;_7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8_9_&#1052;_3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8_9_&#1052;_38+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0_11_&#1052;_3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0_11_&#1052;_3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0_11_&#1052;_4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&#1070;&#1085;&#1086;&#1096;&#1080;/&#1055;&#1050;_10_11_&#1052;_45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Гречишников</v>
          </cell>
          <cell r="E8" t="str">
            <v>Роман</v>
          </cell>
          <cell r="F8" t="str">
            <v>Алексеевич</v>
          </cell>
          <cell r="G8">
            <v>38987</v>
          </cell>
          <cell r="H8">
            <v>9</v>
          </cell>
          <cell r="I8">
            <v>10</v>
          </cell>
          <cell r="J8">
            <v>23</v>
          </cell>
          <cell r="K8" t="str">
            <v>ПК 27</v>
          </cell>
          <cell r="L8" t="str">
            <v>Липецк IKO</v>
          </cell>
          <cell r="M8" t="str">
            <v>Горбунов А.С.</v>
          </cell>
        </row>
        <row r="9">
          <cell r="B9">
            <v>2</v>
          </cell>
          <cell r="C9" t="str">
            <v>М</v>
          </cell>
          <cell r="D9" t="str">
            <v>Бурнацкий</v>
          </cell>
          <cell r="E9" t="str">
            <v>Илья</v>
          </cell>
          <cell r="F9" t="str">
            <v>Алексеевич</v>
          </cell>
          <cell r="G9">
            <v>39432</v>
          </cell>
          <cell r="H9">
            <v>8</v>
          </cell>
          <cell r="I9">
            <v>9</v>
          </cell>
          <cell r="J9">
            <v>25</v>
          </cell>
          <cell r="K9" t="str">
            <v>ПК 27</v>
          </cell>
          <cell r="L9" t="str">
            <v>Грязи</v>
          </cell>
          <cell r="M9" t="str">
            <v>Попов И.В.</v>
          </cell>
        </row>
        <row r="10">
          <cell r="B10">
            <v>3</v>
          </cell>
          <cell r="C10" t="str">
            <v>М</v>
          </cell>
          <cell r="D10" t="str">
            <v>Шевченко</v>
          </cell>
          <cell r="E10" t="str">
            <v>Илья</v>
          </cell>
          <cell r="F10" t="str">
            <v>Алексеевич</v>
          </cell>
          <cell r="G10">
            <v>38825</v>
          </cell>
          <cell r="H10">
            <v>9</v>
          </cell>
          <cell r="I10">
            <v>10</v>
          </cell>
          <cell r="J10">
            <v>25</v>
          </cell>
          <cell r="K10" t="str">
            <v>ПК 27</v>
          </cell>
          <cell r="L10" t="str">
            <v>Москва</v>
          </cell>
          <cell r="M10" t="str">
            <v>Конышев С.В.</v>
          </cell>
        </row>
        <row r="11">
          <cell r="B11">
            <v>4</v>
          </cell>
          <cell r="C11" t="str">
            <v>М</v>
          </cell>
          <cell r="D11" t="str">
            <v xml:space="preserve">Барчуков </v>
          </cell>
          <cell r="E11" t="str">
            <v>Тимофей</v>
          </cell>
          <cell r="F11" t="str">
            <v>Сергеевич</v>
          </cell>
          <cell r="G11">
            <v>39511</v>
          </cell>
          <cell r="H11">
            <v>8</v>
          </cell>
          <cell r="I11">
            <v>10</v>
          </cell>
          <cell r="J11">
            <v>26</v>
          </cell>
          <cell r="K11" t="str">
            <v>ПК 27</v>
          </cell>
          <cell r="L11" t="str">
            <v>Елец</v>
          </cell>
          <cell r="M11" t="str">
            <v>Акопян А.В.</v>
          </cell>
        </row>
        <row r="12">
          <cell r="B12">
            <v>5</v>
          </cell>
          <cell r="C12" t="str">
            <v>М</v>
          </cell>
          <cell r="D12" t="str">
            <v xml:space="preserve">Киселев </v>
          </cell>
          <cell r="E12" t="str">
            <v xml:space="preserve">Никита </v>
          </cell>
          <cell r="F12" t="str">
            <v>Александрович</v>
          </cell>
          <cell r="G12">
            <v>39490</v>
          </cell>
          <cell r="H12">
            <v>8</v>
          </cell>
          <cell r="I12">
            <v>10</v>
          </cell>
          <cell r="J12">
            <v>23</v>
          </cell>
          <cell r="K12" t="str">
            <v>ПК 27</v>
          </cell>
          <cell r="L12" t="str">
            <v>Елец</v>
          </cell>
          <cell r="M12" t="str">
            <v>Акопян А.В.</v>
          </cell>
        </row>
        <row r="13">
          <cell r="B13">
            <v>6</v>
          </cell>
          <cell r="C13" t="str">
            <v>М</v>
          </cell>
          <cell r="D13" t="str">
            <v>Назаров</v>
          </cell>
          <cell r="E13" t="str">
            <v xml:space="preserve">Мухаммед </v>
          </cell>
          <cell r="F13" t="str">
            <v>Али</v>
          </cell>
          <cell r="G13">
            <v>39591</v>
          </cell>
          <cell r="H13">
            <v>7</v>
          </cell>
          <cell r="I13">
            <v>9</v>
          </cell>
          <cell r="J13">
            <v>32</v>
          </cell>
          <cell r="K13" t="str">
            <v>ПК 33</v>
          </cell>
          <cell r="L13" t="str">
            <v>Тамбовская обл</v>
          </cell>
          <cell r="M13" t="str">
            <v>Айриян А.И.</v>
          </cell>
        </row>
        <row r="14">
          <cell r="B14">
            <v>7</v>
          </cell>
          <cell r="C14" t="str">
            <v>М</v>
          </cell>
          <cell r="D14" t="str">
            <v>Голубев</v>
          </cell>
          <cell r="E14" t="str">
            <v>Глеб</v>
          </cell>
          <cell r="F14" t="str">
            <v>Романови</v>
          </cell>
          <cell r="G14">
            <v>39213</v>
          </cell>
          <cell r="H14">
            <v>8</v>
          </cell>
          <cell r="I14">
            <v>10</v>
          </cell>
          <cell r="J14">
            <v>27</v>
          </cell>
          <cell r="K14" t="str">
            <v>ПК 27</v>
          </cell>
          <cell r="L14" t="str">
            <v>Елец</v>
          </cell>
          <cell r="M14" t="str">
            <v>Акопян А.В.</v>
          </cell>
        </row>
        <row r="15">
          <cell r="B15">
            <v>8</v>
          </cell>
          <cell r="C15" t="str">
            <v>М</v>
          </cell>
          <cell r="D15" t="str">
            <v>Куреев</v>
          </cell>
          <cell r="E15" t="str">
            <v>Кирилл</v>
          </cell>
          <cell r="F15" t="str">
            <v>Андреевич</v>
          </cell>
          <cell r="G15">
            <v>39189</v>
          </cell>
          <cell r="H15">
            <v>8</v>
          </cell>
          <cell r="J15">
            <v>26</v>
          </cell>
          <cell r="K15" t="str">
            <v>ПК</v>
          </cell>
          <cell r="L15" t="str">
            <v>Елец</v>
          </cell>
          <cell r="M15" t="str">
            <v>Акопян А.В.</v>
          </cell>
        </row>
        <row r="16">
          <cell r="B16">
            <v>9</v>
          </cell>
          <cell r="C16" t="str">
            <v>М</v>
          </cell>
          <cell r="D16" t="str">
            <v>Кузин</v>
          </cell>
          <cell r="E16" t="str">
            <v>Кирилл</v>
          </cell>
          <cell r="F16" t="str">
            <v>Романович</v>
          </cell>
          <cell r="G16">
            <v>39154</v>
          </cell>
          <cell r="H16">
            <v>9</v>
          </cell>
          <cell r="I16">
            <v>8</v>
          </cell>
          <cell r="J16">
            <v>26</v>
          </cell>
          <cell r="K16" t="str">
            <v>ПК 27</v>
          </cell>
          <cell r="L16" t="str">
            <v>Задонск</v>
          </cell>
          <cell r="M16" t="str">
            <v>Лобеев А.А.</v>
          </cell>
        </row>
        <row r="17">
          <cell r="B17">
            <v>10</v>
          </cell>
          <cell r="C17" t="str">
            <v>М</v>
          </cell>
          <cell r="D17" t="str">
            <v>Беспалов</v>
          </cell>
          <cell r="E17" t="str">
            <v>Михаил</v>
          </cell>
          <cell r="G17">
            <v>39155</v>
          </cell>
          <cell r="H17">
            <v>9</v>
          </cell>
          <cell r="I17">
            <v>10</v>
          </cell>
          <cell r="J17">
            <v>26</v>
          </cell>
          <cell r="K17" t="str">
            <v>ПК 27</v>
          </cell>
          <cell r="L17" t="str">
            <v>Воронеж</v>
          </cell>
          <cell r="M17" t="str">
            <v>Калугин В.А.</v>
          </cell>
        </row>
        <row r="18">
          <cell r="B18">
            <v>11</v>
          </cell>
          <cell r="C18" t="str">
            <v>М</v>
          </cell>
          <cell r="D18" t="str">
            <v>Рыбин</v>
          </cell>
          <cell r="E18" t="str">
            <v>Вадим</v>
          </cell>
          <cell r="G18">
            <v>39084</v>
          </cell>
          <cell r="H18">
            <v>9</v>
          </cell>
          <cell r="I18">
            <v>9</v>
          </cell>
          <cell r="J18">
            <v>27</v>
          </cell>
          <cell r="K18" t="str">
            <v>ПК 27</v>
          </cell>
          <cell r="L18" t="str">
            <v>Воронеж</v>
          </cell>
          <cell r="M18" t="str">
            <v>Калугин В.А.</v>
          </cell>
        </row>
        <row r="19">
          <cell r="B19">
            <v>12</v>
          </cell>
          <cell r="C19" t="str">
            <v>М</v>
          </cell>
          <cell r="D19" t="str">
            <v>Карасёв</v>
          </cell>
          <cell r="E19" t="str">
            <v>Сергей</v>
          </cell>
          <cell r="F19" t="str">
            <v>Александрович</v>
          </cell>
          <cell r="G19">
            <v>38835</v>
          </cell>
          <cell r="H19">
            <v>9</v>
          </cell>
          <cell r="I19">
            <v>10</v>
          </cell>
          <cell r="J19">
            <v>27</v>
          </cell>
          <cell r="K19" t="str">
            <v>ПК 27</v>
          </cell>
          <cell r="L19" t="str">
            <v>Елец</v>
          </cell>
          <cell r="M19" t="str">
            <v>Сальков П.С.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  <cell r="C24" t="str">
            <v>М</v>
          </cell>
        </row>
        <row r="25">
          <cell r="B25">
            <v>18</v>
          </cell>
          <cell r="C25" t="str">
            <v>М</v>
          </cell>
        </row>
        <row r="26">
          <cell r="B26">
            <v>19</v>
          </cell>
          <cell r="C26" t="str">
            <v>М</v>
          </cell>
        </row>
        <row r="27">
          <cell r="B27">
            <v>20</v>
          </cell>
          <cell r="C27" t="str">
            <v>М</v>
          </cell>
        </row>
        <row r="28">
          <cell r="B28">
            <v>21</v>
          </cell>
          <cell r="C28" t="str">
            <v>М</v>
          </cell>
        </row>
        <row r="29">
          <cell r="B29">
            <v>22</v>
          </cell>
          <cell r="C29" t="str">
            <v>М</v>
          </cell>
        </row>
        <row r="30">
          <cell r="B30">
            <v>23</v>
          </cell>
          <cell r="C30" t="str">
            <v>М</v>
          </cell>
        </row>
        <row r="31">
          <cell r="B31">
            <v>24</v>
          </cell>
          <cell r="C31" t="str">
            <v>М</v>
          </cell>
        </row>
        <row r="32">
          <cell r="B32">
            <v>25</v>
          </cell>
          <cell r="C32" t="str">
            <v>М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Шурухин</v>
          </cell>
          <cell r="E8" t="str">
            <v xml:space="preserve">Артем </v>
          </cell>
          <cell r="F8" t="str">
            <v>Михайлович</v>
          </cell>
          <cell r="G8">
            <v>37919</v>
          </cell>
          <cell r="H8">
            <v>12</v>
          </cell>
          <cell r="I8">
            <v>7</v>
          </cell>
          <cell r="J8">
            <v>29</v>
          </cell>
          <cell r="K8" t="str">
            <v>ПК 40</v>
          </cell>
          <cell r="L8" t="str">
            <v>Грязи</v>
          </cell>
          <cell r="M8" t="str">
            <v>Моисеев И.Н.</v>
          </cell>
        </row>
        <row r="9">
          <cell r="B9">
            <v>2</v>
          </cell>
          <cell r="C9" t="str">
            <v>М</v>
          </cell>
          <cell r="D9" t="str">
            <v>Король</v>
          </cell>
          <cell r="E9" t="str">
            <v>Никита</v>
          </cell>
          <cell r="F9" t="str">
            <v>Василиевич</v>
          </cell>
          <cell r="G9">
            <v>37785</v>
          </cell>
          <cell r="H9">
            <v>12</v>
          </cell>
          <cell r="I9">
            <v>6</v>
          </cell>
          <cell r="J9">
            <v>40</v>
          </cell>
          <cell r="K9" t="str">
            <v>ПК 40</v>
          </cell>
          <cell r="L9" t="str">
            <v>Елец</v>
          </cell>
          <cell r="M9" t="str">
            <v>Бейк Е.В.</v>
          </cell>
        </row>
        <row r="10">
          <cell r="B10">
            <v>3</v>
          </cell>
          <cell r="C10" t="str">
            <v>М</v>
          </cell>
          <cell r="D10" t="str">
            <v>Зянчурин</v>
          </cell>
          <cell r="E10" t="str">
            <v>Данила</v>
          </cell>
          <cell r="F10" t="str">
            <v>Русланович</v>
          </cell>
          <cell r="G10">
            <v>37834</v>
          </cell>
          <cell r="H10">
            <v>12</v>
          </cell>
          <cell r="I10">
            <v>8</v>
          </cell>
          <cell r="J10">
            <v>37</v>
          </cell>
          <cell r="K10" t="str">
            <v>ПК 40</v>
          </cell>
          <cell r="L10" t="str">
            <v>Елец</v>
          </cell>
          <cell r="M10" t="str">
            <v>Фомин Ю.Ю.</v>
          </cell>
        </row>
        <row r="11">
          <cell r="B11">
            <v>4</v>
          </cell>
          <cell r="C11" t="str">
            <v>М</v>
          </cell>
          <cell r="D11" t="str">
            <v>Майоров</v>
          </cell>
          <cell r="E11" t="str">
            <v>Даниил</v>
          </cell>
          <cell r="F11" t="str">
            <v>Юрьевич</v>
          </cell>
          <cell r="G11">
            <v>37978</v>
          </cell>
          <cell r="H11">
            <v>12</v>
          </cell>
          <cell r="I11">
            <v>9</v>
          </cell>
          <cell r="J11">
            <v>40</v>
          </cell>
          <cell r="K11" t="str">
            <v>ПК 40</v>
          </cell>
          <cell r="L11" t="str">
            <v>Елец</v>
          </cell>
          <cell r="M11" t="str">
            <v>Кобзев М.А.</v>
          </cell>
        </row>
        <row r="12">
          <cell r="B12">
            <v>5</v>
          </cell>
          <cell r="C12" t="str">
            <v>М</v>
          </cell>
          <cell r="D12" t="str">
            <v>Новицкий</v>
          </cell>
          <cell r="E12" t="str">
            <v>Никита</v>
          </cell>
          <cell r="F12" t="str">
            <v>Сергеевич</v>
          </cell>
          <cell r="G12">
            <v>38062</v>
          </cell>
          <cell r="H12">
            <v>12</v>
          </cell>
          <cell r="I12">
            <v>7</v>
          </cell>
          <cell r="J12">
            <v>36</v>
          </cell>
          <cell r="K12" t="str">
            <v>ПК 40</v>
          </cell>
          <cell r="L12" t="str">
            <v>Елец</v>
          </cell>
          <cell r="M12" t="str">
            <v>Акопян А.В.</v>
          </cell>
        </row>
        <row r="13">
          <cell r="B13">
            <v>6</v>
          </cell>
          <cell r="C13" t="str">
            <v>М</v>
          </cell>
          <cell r="D13" t="str">
            <v xml:space="preserve">Кугут </v>
          </cell>
          <cell r="E13" t="str">
            <v>Иван</v>
          </cell>
          <cell r="F13" t="str">
            <v>Сергеевич</v>
          </cell>
          <cell r="G13">
            <v>38057</v>
          </cell>
          <cell r="H13">
            <v>12</v>
          </cell>
          <cell r="I13">
            <v>6</v>
          </cell>
          <cell r="J13">
            <v>39.799999999999997</v>
          </cell>
          <cell r="K13" t="str">
            <v>ПК 40</v>
          </cell>
          <cell r="L13" t="str">
            <v>Липецк KAN</v>
          </cell>
          <cell r="M13" t="str">
            <v>Цуканов А.С.</v>
          </cell>
        </row>
        <row r="14">
          <cell r="B14">
            <v>7</v>
          </cell>
          <cell r="C14" t="str">
            <v>М</v>
          </cell>
          <cell r="D14" t="str">
            <v xml:space="preserve">Белотелов </v>
          </cell>
          <cell r="E14" t="str">
            <v>Игорь</v>
          </cell>
          <cell r="F14" t="str">
            <v>Викторович</v>
          </cell>
          <cell r="G14">
            <v>37915</v>
          </cell>
          <cell r="H14">
            <v>12</v>
          </cell>
          <cell r="I14">
            <v>6</v>
          </cell>
          <cell r="J14">
            <v>39.799999999999997</v>
          </cell>
          <cell r="K14" t="str">
            <v>ПК 40</v>
          </cell>
          <cell r="L14" t="str">
            <v>Липецк KAN</v>
          </cell>
          <cell r="M14" t="str">
            <v>Цуканов А.С.</v>
          </cell>
        </row>
        <row r="15">
          <cell r="B15">
            <v>8</v>
          </cell>
          <cell r="C15" t="str">
            <v>М</v>
          </cell>
          <cell r="D15" t="str">
            <v>Облецов</v>
          </cell>
          <cell r="E15" t="str">
            <v>Аршад</v>
          </cell>
          <cell r="F15" t="str">
            <v>Александрович</v>
          </cell>
          <cell r="G15">
            <v>37937</v>
          </cell>
          <cell r="H15">
            <v>12</v>
          </cell>
          <cell r="I15" t="str">
            <v>4 кю</v>
          </cell>
          <cell r="J15">
            <v>32</v>
          </cell>
          <cell r="K15" t="str">
            <v>ПК 40</v>
          </cell>
          <cell r="L15" t="str">
            <v>Москва</v>
          </cell>
          <cell r="M15" t="str">
            <v>Топоркова О.В.</v>
          </cell>
        </row>
        <row r="16">
          <cell r="B16">
            <v>9</v>
          </cell>
          <cell r="C16" t="str">
            <v>М</v>
          </cell>
          <cell r="D16" t="str">
            <v>Схоменко</v>
          </cell>
          <cell r="E16" t="str">
            <v>Руслан</v>
          </cell>
          <cell r="F16" t="str">
            <v>Евгеньевич</v>
          </cell>
          <cell r="G16">
            <v>38016</v>
          </cell>
          <cell r="H16">
            <v>12</v>
          </cell>
          <cell r="I16">
            <v>9</v>
          </cell>
          <cell r="J16">
            <v>38</v>
          </cell>
          <cell r="K16" t="str">
            <v>ПК 40</v>
          </cell>
          <cell r="L16" t="str">
            <v>Россошь с\к Химик</v>
          </cell>
          <cell r="M16" t="str">
            <v>Шилов Р.И.</v>
          </cell>
        </row>
        <row r="17">
          <cell r="B17">
            <v>10</v>
          </cell>
          <cell r="C17" t="str">
            <v>М</v>
          </cell>
          <cell r="D17" t="str">
            <v xml:space="preserve">Ковтун </v>
          </cell>
          <cell r="E17" t="str">
            <v>Антон</v>
          </cell>
          <cell r="F17" t="str">
            <v>Владимирович</v>
          </cell>
          <cell r="G17" t="str">
            <v>27.10.2003.</v>
          </cell>
          <cell r="H17">
            <v>12</v>
          </cell>
          <cell r="J17">
            <v>39</v>
          </cell>
          <cell r="K17" t="str">
            <v>ПК 40</v>
          </cell>
          <cell r="L17" t="str">
            <v>Россошь Сакура</v>
          </cell>
          <cell r="M17" t="str">
            <v>Басова А.В.</v>
          </cell>
        </row>
        <row r="18">
          <cell r="B18">
            <v>11</v>
          </cell>
          <cell r="C18" t="str">
            <v>М</v>
          </cell>
          <cell r="D18" t="str">
            <v xml:space="preserve">Левин </v>
          </cell>
          <cell r="E18" t="str">
            <v>Никита</v>
          </cell>
          <cell r="F18" t="str">
            <v>Владиславович</v>
          </cell>
          <cell r="G18">
            <v>37664</v>
          </cell>
          <cell r="H18">
            <v>13</v>
          </cell>
          <cell r="I18">
            <v>6</v>
          </cell>
          <cell r="J18">
            <v>38</v>
          </cell>
          <cell r="K18" t="str">
            <v>ПК 40</v>
          </cell>
          <cell r="L18" t="str">
            <v>Тамбовская обл</v>
          </cell>
          <cell r="M18" t="str">
            <v>Айриян А.И.</v>
          </cell>
        </row>
        <row r="19">
          <cell r="B19">
            <v>12</v>
          </cell>
          <cell r="C19" t="str">
            <v>М</v>
          </cell>
          <cell r="D19" t="str">
            <v>Крассовский</v>
          </cell>
          <cell r="E19" t="str">
            <v>Александр</v>
          </cell>
          <cell r="F19" t="str">
            <v>Владимирович</v>
          </cell>
          <cell r="G19">
            <v>38019</v>
          </cell>
          <cell r="H19">
            <v>12</v>
          </cell>
          <cell r="I19">
            <v>7</v>
          </cell>
          <cell r="J19">
            <v>38</v>
          </cell>
          <cell r="K19" t="str">
            <v>ПК 40</v>
          </cell>
          <cell r="L19" t="str">
            <v>Тамбовская обл</v>
          </cell>
          <cell r="M19" t="str">
            <v>Антакова Е.В.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Большаков</v>
          </cell>
          <cell r="E8" t="str">
            <v>Захар</v>
          </cell>
          <cell r="F8" t="str">
            <v>Андреевич</v>
          </cell>
          <cell r="G8">
            <v>37545</v>
          </cell>
          <cell r="H8">
            <v>13</v>
          </cell>
          <cell r="I8">
            <v>8</v>
          </cell>
          <cell r="J8">
            <v>42</v>
          </cell>
          <cell r="K8" t="str">
            <v>ПК 45</v>
          </cell>
          <cell r="L8" t="str">
            <v>Елец</v>
          </cell>
          <cell r="M8" t="str">
            <v>Кобзев М.А.</v>
          </cell>
        </row>
        <row r="9">
          <cell r="B9">
            <v>2</v>
          </cell>
          <cell r="C9" t="str">
            <v>М</v>
          </cell>
          <cell r="D9" t="str">
            <v>Аверин</v>
          </cell>
          <cell r="E9" t="str">
            <v>Илья</v>
          </cell>
          <cell r="F9" t="str">
            <v>Геннадиевич</v>
          </cell>
          <cell r="G9">
            <v>37819</v>
          </cell>
          <cell r="H9">
            <v>12</v>
          </cell>
          <cell r="I9">
            <v>6</v>
          </cell>
          <cell r="J9">
            <v>41</v>
          </cell>
          <cell r="K9" t="str">
            <v>ПК 45</v>
          </cell>
          <cell r="L9" t="str">
            <v>Елец</v>
          </cell>
          <cell r="M9" t="str">
            <v>Акопян А.В.</v>
          </cell>
        </row>
        <row r="10">
          <cell r="B10">
            <v>3</v>
          </cell>
          <cell r="C10" t="str">
            <v>М</v>
          </cell>
          <cell r="D10" t="str">
            <v>Зиборов</v>
          </cell>
          <cell r="E10" t="str">
            <v>Арсений</v>
          </cell>
          <cell r="F10" t="str">
            <v>Денисович</v>
          </cell>
          <cell r="G10">
            <v>37957</v>
          </cell>
          <cell r="H10">
            <v>12</v>
          </cell>
          <cell r="I10">
            <v>6</v>
          </cell>
          <cell r="J10">
            <v>44</v>
          </cell>
          <cell r="K10" t="str">
            <v>ПК 45</v>
          </cell>
          <cell r="L10" t="str">
            <v>Елец</v>
          </cell>
          <cell r="M10" t="str">
            <v>Акопян А.В.</v>
          </cell>
        </row>
        <row r="11">
          <cell r="B11">
            <v>4</v>
          </cell>
          <cell r="C11" t="str">
            <v>М</v>
          </cell>
          <cell r="D11" t="str">
            <v>Чулыгин</v>
          </cell>
          <cell r="E11" t="str">
            <v>Тимур</v>
          </cell>
          <cell r="F11" t="str">
            <v>Аркадиевич</v>
          </cell>
          <cell r="G11">
            <v>37761</v>
          </cell>
          <cell r="H11">
            <v>12</v>
          </cell>
          <cell r="I11">
            <v>6</v>
          </cell>
          <cell r="J11">
            <v>45</v>
          </cell>
          <cell r="K11" t="str">
            <v>ПК 45</v>
          </cell>
          <cell r="L11" t="str">
            <v>Елец</v>
          </cell>
          <cell r="M11" t="str">
            <v>Бейк Е.В.</v>
          </cell>
        </row>
        <row r="12">
          <cell r="B12">
            <v>5</v>
          </cell>
          <cell r="C12" t="str">
            <v>М</v>
          </cell>
          <cell r="D12" t="str">
            <v>Дмитриев</v>
          </cell>
          <cell r="E12" t="str">
            <v>Виталий</v>
          </cell>
          <cell r="F12" t="str">
            <v>Олегович</v>
          </cell>
          <cell r="G12">
            <v>37904</v>
          </cell>
          <cell r="H12">
            <v>12</v>
          </cell>
          <cell r="I12">
            <v>5</v>
          </cell>
          <cell r="J12">
            <v>44</v>
          </cell>
          <cell r="K12" t="str">
            <v>ПК 45</v>
          </cell>
          <cell r="L12" t="str">
            <v>Задонск</v>
          </cell>
          <cell r="M12" t="str">
            <v>Лобеев А.А.</v>
          </cell>
        </row>
        <row r="13">
          <cell r="B13">
            <v>6</v>
          </cell>
          <cell r="C13" t="str">
            <v>М</v>
          </cell>
          <cell r="D13" t="str">
            <v>Чалов</v>
          </cell>
          <cell r="E13" t="str">
            <v>Артём</v>
          </cell>
          <cell r="F13" t="str">
            <v>Андреевич</v>
          </cell>
          <cell r="G13">
            <v>37688</v>
          </cell>
          <cell r="H13">
            <v>13</v>
          </cell>
          <cell r="I13">
            <v>4</v>
          </cell>
          <cell r="J13">
            <v>43</v>
          </cell>
          <cell r="K13" t="str">
            <v>ПК 45</v>
          </cell>
          <cell r="L13" t="str">
            <v>Москва</v>
          </cell>
          <cell r="M13" t="str">
            <v>Анаян О.Г.</v>
          </cell>
        </row>
        <row r="14">
          <cell r="B14">
            <v>7</v>
          </cell>
          <cell r="C14" t="str">
            <v>М</v>
          </cell>
          <cell r="D14" t="str">
            <v>Сесёлкин</v>
          </cell>
          <cell r="E14" t="str">
            <v>Родион</v>
          </cell>
          <cell r="F14" t="str">
            <v>Валерьевич</v>
          </cell>
          <cell r="G14">
            <v>37762</v>
          </cell>
          <cell r="H14">
            <v>12</v>
          </cell>
          <cell r="I14">
            <v>9</v>
          </cell>
          <cell r="J14">
            <v>44.5</v>
          </cell>
          <cell r="K14" t="str">
            <v>ПК 45</v>
          </cell>
          <cell r="L14" t="str">
            <v>Россошь с\к Химик</v>
          </cell>
          <cell r="M14" t="str">
            <v>Шилов Р.И.</v>
          </cell>
        </row>
        <row r="15">
          <cell r="B15">
            <v>8</v>
          </cell>
          <cell r="C15" t="str">
            <v>М</v>
          </cell>
          <cell r="D15" t="str">
            <v>Назаров</v>
          </cell>
          <cell r="E15" t="str">
            <v>Илья</v>
          </cell>
          <cell r="F15" t="str">
            <v>Романович</v>
          </cell>
          <cell r="G15" t="str">
            <v>30.08.2003 </v>
          </cell>
          <cell r="H15">
            <v>12</v>
          </cell>
          <cell r="I15">
            <v>2</v>
          </cell>
          <cell r="J15">
            <v>44</v>
          </cell>
          <cell r="K15" t="str">
            <v>ПК 45</v>
          </cell>
          <cell r="L15" t="str">
            <v>Тамбовская обл</v>
          </cell>
          <cell r="M15" t="str">
            <v>Сафронов А.В.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Истомин</v>
          </cell>
          <cell r="E8" t="str">
            <v>Артем</v>
          </cell>
          <cell r="F8" t="str">
            <v>Александрович</v>
          </cell>
          <cell r="G8">
            <v>37710</v>
          </cell>
          <cell r="H8">
            <v>12</v>
          </cell>
          <cell r="I8">
            <v>8</v>
          </cell>
          <cell r="J8">
            <v>48</v>
          </cell>
          <cell r="K8" t="str">
            <v>ПК 50</v>
          </cell>
          <cell r="L8" t="str">
            <v>Грязи</v>
          </cell>
          <cell r="M8" t="str">
            <v>Моисеев И.Н.</v>
          </cell>
        </row>
        <row r="9">
          <cell r="B9">
            <v>2</v>
          </cell>
          <cell r="C9" t="str">
            <v>М</v>
          </cell>
          <cell r="D9" t="str">
            <v>Дмитриенко</v>
          </cell>
          <cell r="E9" t="str">
            <v>Артем</v>
          </cell>
          <cell r="F9" t="str">
            <v>Евгеньевич</v>
          </cell>
          <cell r="G9">
            <v>37853</v>
          </cell>
          <cell r="H9">
            <v>12</v>
          </cell>
          <cell r="I9">
            <v>6</v>
          </cell>
          <cell r="J9">
            <v>47</v>
          </cell>
          <cell r="K9" t="str">
            <v>ПК 50</v>
          </cell>
          <cell r="L9" t="str">
            <v>Елец</v>
          </cell>
          <cell r="M9" t="str">
            <v>Бейк Е.В.</v>
          </cell>
        </row>
        <row r="10">
          <cell r="B10">
            <v>3</v>
          </cell>
          <cell r="C10" t="str">
            <v>М</v>
          </cell>
          <cell r="D10" t="str">
            <v>Трубицын</v>
          </cell>
          <cell r="E10" t="str">
            <v>Антон</v>
          </cell>
          <cell r="F10" t="str">
            <v>Евгеньевич</v>
          </cell>
          <cell r="G10">
            <v>37646</v>
          </cell>
          <cell r="H10">
            <v>13</v>
          </cell>
          <cell r="I10">
            <v>6</v>
          </cell>
          <cell r="J10">
            <v>50</v>
          </cell>
          <cell r="K10" t="str">
            <v>ПК 50</v>
          </cell>
          <cell r="L10" t="str">
            <v>Елец</v>
          </cell>
          <cell r="M10" t="str">
            <v>Акопян А.В.</v>
          </cell>
        </row>
        <row r="11">
          <cell r="B11">
            <v>4</v>
          </cell>
          <cell r="C11" t="str">
            <v>М</v>
          </cell>
          <cell r="D11" t="str">
            <v>Шарандин</v>
          </cell>
          <cell r="E11" t="str">
            <v>Илья</v>
          </cell>
          <cell r="F11" t="str">
            <v>Витальевич</v>
          </cell>
          <cell r="G11">
            <v>38057</v>
          </cell>
          <cell r="H11">
            <v>12</v>
          </cell>
          <cell r="I11">
            <v>9</v>
          </cell>
          <cell r="J11">
            <v>48</v>
          </cell>
          <cell r="K11" t="str">
            <v>ПК 50</v>
          </cell>
          <cell r="L11" t="str">
            <v>Елец</v>
          </cell>
          <cell r="M11" t="str">
            <v>Кобзев М.А.</v>
          </cell>
        </row>
        <row r="12">
          <cell r="B12">
            <v>5</v>
          </cell>
          <cell r="C12" t="str">
            <v>М</v>
          </cell>
          <cell r="D12" t="str">
            <v>Шарандин</v>
          </cell>
          <cell r="E12" t="str">
            <v>Александр</v>
          </cell>
          <cell r="F12" t="str">
            <v>Александрович</v>
          </cell>
          <cell r="G12">
            <v>37357</v>
          </cell>
          <cell r="H12">
            <v>13</v>
          </cell>
          <cell r="I12">
            <v>8</v>
          </cell>
          <cell r="J12">
            <v>47</v>
          </cell>
          <cell r="K12" t="str">
            <v>ПК 50</v>
          </cell>
          <cell r="L12" t="str">
            <v>Елец</v>
          </cell>
          <cell r="M12" t="str">
            <v>Кобзев М.А.</v>
          </cell>
        </row>
        <row r="13">
          <cell r="B13">
            <v>6</v>
          </cell>
          <cell r="C13" t="str">
            <v>М</v>
          </cell>
          <cell r="D13" t="str">
            <v>Савков</v>
          </cell>
          <cell r="E13" t="str">
            <v>Кирилл</v>
          </cell>
          <cell r="F13" t="str">
            <v>Алексеевич</v>
          </cell>
          <cell r="G13">
            <v>37501</v>
          </cell>
          <cell r="H13">
            <v>13</v>
          </cell>
          <cell r="I13">
            <v>10</v>
          </cell>
          <cell r="J13">
            <v>49</v>
          </cell>
          <cell r="K13" t="str">
            <v>ПК 50</v>
          </cell>
          <cell r="L13" t="str">
            <v>Елец</v>
          </cell>
          <cell r="M13" t="str">
            <v>Сальков П.С.</v>
          </cell>
        </row>
        <row r="14">
          <cell r="B14">
            <v>7</v>
          </cell>
          <cell r="C14" t="str">
            <v>М</v>
          </cell>
          <cell r="D14" t="str">
            <v>Журавлев</v>
          </cell>
          <cell r="E14" t="str">
            <v>Павел</v>
          </cell>
          <cell r="F14" t="str">
            <v>Ильич  </v>
          </cell>
          <cell r="G14">
            <v>37607</v>
          </cell>
          <cell r="H14">
            <v>13</v>
          </cell>
          <cell r="I14">
            <v>5</v>
          </cell>
          <cell r="J14">
            <v>47</v>
          </cell>
          <cell r="K14" t="str">
            <v>ПК 50</v>
          </cell>
          <cell r="L14" t="str">
            <v>Москва</v>
          </cell>
          <cell r="M14" t="str">
            <v>Анаян О.Г.</v>
          </cell>
        </row>
        <row r="15">
          <cell r="B15">
            <v>8</v>
          </cell>
          <cell r="C15" t="str">
            <v>М</v>
          </cell>
          <cell r="D15" t="str">
            <v>Ельмеев</v>
          </cell>
          <cell r="E15" t="str">
            <v>Сергей</v>
          </cell>
          <cell r="F15" t="str">
            <v>Михайлович</v>
          </cell>
          <cell r="G15">
            <v>37474</v>
          </cell>
          <cell r="H15">
            <v>13</v>
          </cell>
          <cell r="I15" t="str">
            <v>6 кю</v>
          </cell>
          <cell r="J15">
            <v>50</v>
          </cell>
          <cell r="K15" t="str">
            <v>ПК 50</v>
          </cell>
          <cell r="L15" t="str">
            <v>Москва</v>
          </cell>
          <cell r="M15" t="str">
            <v>Конышев С.В.</v>
          </cell>
        </row>
        <row r="16">
          <cell r="B16">
            <v>9</v>
          </cell>
          <cell r="C16" t="str">
            <v>М</v>
          </cell>
          <cell r="D16" t="str">
            <v>Шелепов</v>
          </cell>
          <cell r="E16" t="str">
            <v>Илья</v>
          </cell>
          <cell r="F16" t="str">
            <v>Русланович</v>
          </cell>
          <cell r="G16">
            <v>38030</v>
          </cell>
          <cell r="H16">
            <v>12</v>
          </cell>
          <cell r="I16">
            <v>9</v>
          </cell>
          <cell r="J16">
            <v>49</v>
          </cell>
          <cell r="K16" t="str">
            <v>ПК 50</v>
          </cell>
          <cell r="L16" t="str">
            <v>Россошь с\к Химик</v>
          </cell>
          <cell r="M16" t="str">
            <v>Шилов Р.И.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Коноплев</v>
          </cell>
          <cell r="E8" t="str">
            <v>Роман</v>
          </cell>
          <cell r="F8" t="str">
            <v>Валерьевич</v>
          </cell>
          <cell r="G8">
            <v>37707</v>
          </cell>
          <cell r="H8">
            <v>13</v>
          </cell>
          <cell r="I8" t="str">
            <v>5 кю</v>
          </cell>
          <cell r="J8">
            <v>51</v>
          </cell>
          <cell r="K8" t="str">
            <v>ПК 55</v>
          </cell>
          <cell r="L8" t="str">
            <v>Москва</v>
          </cell>
          <cell r="M8" t="str">
            <v>Анаян О.Г.</v>
          </cell>
        </row>
        <row r="9">
          <cell r="B9">
            <v>2</v>
          </cell>
          <cell r="C9" t="str">
            <v>М</v>
          </cell>
          <cell r="D9" t="str">
            <v>Курбатов</v>
          </cell>
          <cell r="E9" t="str">
            <v>Илья</v>
          </cell>
          <cell r="F9" t="str">
            <v>Дмитриевич</v>
          </cell>
          <cell r="G9">
            <v>37530</v>
          </cell>
          <cell r="H9">
            <v>13</v>
          </cell>
          <cell r="I9">
            <v>5</v>
          </cell>
          <cell r="J9">
            <v>54</v>
          </cell>
          <cell r="K9" t="str">
            <v>ПК 55</v>
          </cell>
          <cell r="L9" t="str">
            <v>Задонск</v>
          </cell>
          <cell r="M9" t="str">
            <v>Лобеев А.А.</v>
          </cell>
        </row>
        <row r="10">
          <cell r="B10">
            <v>3</v>
          </cell>
          <cell r="C10" t="str">
            <v>М</v>
          </cell>
          <cell r="D10" t="str">
            <v>Горбунов</v>
          </cell>
          <cell r="E10" t="str">
            <v>Александр</v>
          </cell>
          <cell r="F10" t="str">
            <v>Александрович</v>
          </cell>
          <cell r="G10">
            <v>37488</v>
          </cell>
          <cell r="H10">
            <v>13</v>
          </cell>
          <cell r="I10">
            <v>6</v>
          </cell>
          <cell r="J10">
            <v>52</v>
          </cell>
          <cell r="K10" t="str">
            <v>ПК 55</v>
          </cell>
          <cell r="L10" t="str">
            <v>Липецк IKO</v>
          </cell>
          <cell r="M10" t="str">
            <v>Горбунов А.С.</v>
          </cell>
        </row>
        <row r="11">
          <cell r="B11">
            <v>4</v>
          </cell>
          <cell r="C11" t="str">
            <v>М</v>
          </cell>
          <cell r="D11" t="str">
            <v>Сурков</v>
          </cell>
          <cell r="E11" t="str">
            <v>Вячеслав</v>
          </cell>
          <cell r="F11" t="str">
            <v>Олегович</v>
          </cell>
          <cell r="G11">
            <v>37387</v>
          </cell>
          <cell r="H11">
            <v>13</v>
          </cell>
          <cell r="I11">
            <v>8</v>
          </cell>
          <cell r="J11">
            <v>54</v>
          </cell>
          <cell r="K11" t="str">
            <v>ПК 55</v>
          </cell>
          <cell r="L11" t="str">
            <v>Россошь с\к Химик</v>
          </cell>
          <cell r="M11" t="str">
            <v>Шилов Р.И.</v>
          </cell>
        </row>
        <row r="12">
          <cell r="B12">
            <v>5</v>
          </cell>
          <cell r="C12" t="str">
            <v>М</v>
          </cell>
          <cell r="D12" t="str">
            <v xml:space="preserve">Скуратов </v>
          </cell>
          <cell r="E12" t="str">
            <v xml:space="preserve">Егор </v>
          </cell>
          <cell r="F12" t="str">
            <v xml:space="preserve">Александрович </v>
          </cell>
          <cell r="G12">
            <v>37405</v>
          </cell>
          <cell r="H12">
            <v>13</v>
          </cell>
          <cell r="J12">
            <v>54</v>
          </cell>
          <cell r="K12" t="str">
            <v>ПК 55</v>
          </cell>
          <cell r="L12" t="str">
            <v>Россошь Сакура</v>
          </cell>
          <cell r="M12" t="str">
            <v>Басова А.В.</v>
          </cell>
        </row>
        <row r="13">
          <cell r="B13">
            <v>6</v>
          </cell>
          <cell r="C13" t="str">
            <v>М</v>
          </cell>
          <cell r="D13" t="str">
            <v xml:space="preserve">Ерофеев </v>
          </cell>
          <cell r="E13" t="str">
            <v xml:space="preserve">Максим </v>
          </cell>
          <cell r="F13" t="str">
            <v>Александрович</v>
          </cell>
          <cell r="G13">
            <v>37679</v>
          </cell>
          <cell r="H13">
            <v>13</v>
          </cell>
          <cell r="I13">
            <v>9</v>
          </cell>
          <cell r="J13">
            <v>54</v>
          </cell>
          <cell r="K13" t="str">
            <v>ПК 55</v>
          </cell>
          <cell r="L13" t="str">
            <v>Тамбовская обл</v>
          </cell>
          <cell r="M13" t="str">
            <v>Семишова Н.Н.</v>
          </cell>
        </row>
        <row r="14">
          <cell r="B14">
            <v>7</v>
          </cell>
          <cell r="C14" t="str">
            <v>М</v>
          </cell>
          <cell r="D14" t="str">
            <v xml:space="preserve">Ломакин </v>
          </cell>
          <cell r="E14" t="str">
            <v>Сергей</v>
          </cell>
          <cell r="F14" t="str">
            <v>Александрович</v>
          </cell>
          <cell r="G14">
            <v>37599</v>
          </cell>
          <cell r="H14">
            <v>13</v>
          </cell>
          <cell r="I14">
            <v>3</v>
          </cell>
          <cell r="J14">
            <v>55</v>
          </cell>
          <cell r="K14" t="str">
            <v>ПК 55</v>
          </cell>
          <cell r="L14" t="str">
            <v>Тамбовская обл</v>
          </cell>
          <cell r="M14" t="str">
            <v>Айриян А.И.</v>
          </cell>
        </row>
        <row r="15">
          <cell r="B15">
            <v>8</v>
          </cell>
          <cell r="C15" t="str">
            <v>М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Малахов</v>
          </cell>
          <cell r="E8" t="str">
            <v>Данил</v>
          </cell>
          <cell r="F8" t="str">
            <v>Павлович</v>
          </cell>
          <cell r="G8">
            <v>37828</v>
          </cell>
          <cell r="H8">
            <v>13</v>
          </cell>
          <cell r="I8" t="str">
            <v>-</v>
          </cell>
          <cell r="J8">
            <v>62</v>
          </cell>
          <cell r="K8" t="str">
            <v>ПК 65</v>
          </cell>
          <cell r="L8" t="str">
            <v>Грязи</v>
          </cell>
          <cell r="M8" t="str">
            <v>Моисеев И.Н.</v>
          </cell>
        </row>
        <row r="9">
          <cell r="B9">
            <v>2</v>
          </cell>
          <cell r="C9" t="str">
            <v>М</v>
          </cell>
          <cell r="D9" t="str">
            <v>Ляшок</v>
          </cell>
          <cell r="E9" t="str">
            <v>Кирилл</v>
          </cell>
          <cell r="F9" t="str">
            <v>Петрович</v>
          </cell>
          <cell r="G9">
            <v>37762</v>
          </cell>
          <cell r="H9">
            <v>12</v>
          </cell>
          <cell r="I9">
            <v>9</v>
          </cell>
          <cell r="J9">
            <v>65</v>
          </cell>
          <cell r="K9" t="str">
            <v>ПК 65</v>
          </cell>
          <cell r="L9" t="str">
            <v>Елец</v>
          </cell>
          <cell r="M9" t="str">
            <v>Акопян А.В.</v>
          </cell>
        </row>
        <row r="10">
          <cell r="B10">
            <v>3</v>
          </cell>
          <cell r="C10" t="str">
            <v>М</v>
          </cell>
          <cell r="D10" t="str">
            <v>Меркулов</v>
          </cell>
          <cell r="E10" t="str">
            <v>Марк</v>
          </cell>
          <cell r="F10" t="str">
            <v>Александрович</v>
          </cell>
          <cell r="G10">
            <v>37383</v>
          </cell>
          <cell r="H10">
            <v>13</v>
          </cell>
          <cell r="I10">
            <v>7</v>
          </cell>
          <cell r="J10">
            <v>65</v>
          </cell>
          <cell r="K10" t="str">
            <v>ПК 65</v>
          </cell>
          <cell r="L10" t="str">
            <v>Елец</v>
          </cell>
          <cell r="M10" t="str">
            <v>Акопян А.В.</v>
          </cell>
        </row>
        <row r="11">
          <cell r="B11">
            <v>4</v>
          </cell>
          <cell r="C11" t="str">
            <v>М</v>
          </cell>
          <cell r="D11" t="str">
            <v xml:space="preserve">Голенко </v>
          </cell>
          <cell r="E11" t="str">
            <v xml:space="preserve">Максим </v>
          </cell>
          <cell r="F11" t="str">
            <v>Владимирович</v>
          </cell>
          <cell r="G11">
            <v>37461</v>
          </cell>
          <cell r="H11">
            <v>13</v>
          </cell>
          <cell r="J11">
            <v>58</v>
          </cell>
          <cell r="K11" t="str">
            <v>ПК 65</v>
          </cell>
          <cell r="L11" t="str">
            <v>Россошь Сакура</v>
          </cell>
          <cell r="M11" t="str">
            <v>Басова А.В.</v>
          </cell>
        </row>
        <row r="12">
          <cell r="B12">
            <v>5</v>
          </cell>
          <cell r="C12" t="str">
            <v>М</v>
          </cell>
        </row>
        <row r="13">
          <cell r="B13">
            <v>6</v>
          </cell>
          <cell r="C13" t="str">
            <v>М</v>
          </cell>
        </row>
        <row r="14">
          <cell r="B14">
            <v>7</v>
          </cell>
          <cell r="C14" t="str">
            <v>М</v>
          </cell>
        </row>
        <row r="15">
          <cell r="B15">
            <v>8</v>
          </cell>
          <cell r="C15" t="str">
            <v>М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Мирзоев</v>
          </cell>
          <cell r="E8" t="str">
            <v>Руслан</v>
          </cell>
          <cell r="F8" t="str">
            <v>Алиагаевич</v>
          </cell>
          <cell r="G8">
            <v>37187</v>
          </cell>
          <cell r="H8">
            <v>14</v>
          </cell>
          <cell r="I8" t="str">
            <v>3 кю</v>
          </cell>
          <cell r="J8">
            <v>47</v>
          </cell>
          <cell r="K8" t="str">
            <v>ПК-50</v>
          </cell>
          <cell r="L8" t="str">
            <v>Москва</v>
          </cell>
          <cell r="M8" t="str">
            <v>Анаян О.Г.</v>
          </cell>
        </row>
        <row r="9">
          <cell r="B9">
            <v>2</v>
          </cell>
          <cell r="C9" t="str">
            <v>М</v>
          </cell>
          <cell r="D9" t="str">
            <v>Иванов</v>
          </cell>
          <cell r="E9" t="str">
            <v>Иван</v>
          </cell>
          <cell r="F9" t="str">
            <v>Александрович</v>
          </cell>
          <cell r="G9">
            <v>37103</v>
          </cell>
          <cell r="H9">
            <v>14</v>
          </cell>
          <cell r="I9" t="str">
            <v>4 кю</v>
          </cell>
          <cell r="J9">
            <v>43</v>
          </cell>
          <cell r="K9" t="str">
            <v>ПК-50</v>
          </cell>
          <cell r="L9" t="str">
            <v>Москва</v>
          </cell>
          <cell r="M9" t="str">
            <v>Топоркова О.В.</v>
          </cell>
        </row>
        <row r="10">
          <cell r="B10">
            <v>3</v>
          </cell>
          <cell r="C10" t="str">
            <v>М</v>
          </cell>
          <cell r="D10" t="str">
            <v xml:space="preserve">Минеев </v>
          </cell>
          <cell r="E10" t="str">
            <v xml:space="preserve">Николай </v>
          </cell>
          <cell r="F10" t="str">
            <v xml:space="preserve">Владимирович </v>
          </cell>
          <cell r="G10">
            <v>37111</v>
          </cell>
          <cell r="H10">
            <v>14</v>
          </cell>
          <cell r="I10">
            <v>8</v>
          </cell>
          <cell r="J10">
            <v>47</v>
          </cell>
          <cell r="K10" t="str">
            <v>ПК-50</v>
          </cell>
          <cell r="L10" t="str">
            <v>Россошь Сакура</v>
          </cell>
          <cell r="M10" t="str">
            <v>Басова А.В.</v>
          </cell>
        </row>
        <row r="11">
          <cell r="B11">
            <v>4</v>
          </cell>
          <cell r="C11" t="str">
            <v>М</v>
          </cell>
          <cell r="D11" t="str">
            <v>Максимович</v>
          </cell>
          <cell r="E11" t="str">
            <v>Данил</v>
          </cell>
          <cell r="F11" t="str">
            <v>Игоревич</v>
          </cell>
          <cell r="G11">
            <v>37187</v>
          </cell>
          <cell r="H11">
            <v>14</v>
          </cell>
          <cell r="I11">
            <v>6</v>
          </cell>
          <cell r="J11">
            <v>47</v>
          </cell>
          <cell r="K11" t="str">
            <v>ПК-50</v>
          </cell>
          <cell r="L11" t="str">
            <v>Елец</v>
          </cell>
          <cell r="M11" t="str">
            <v>Кобзев М.А.</v>
          </cell>
        </row>
        <row r="12">
          <cell r="B12">
            <v>5</v>
          </cell>
          <cell r="C12" t="str">
            <v>м</v>
          </cell>
          <cell r="D12" t="str">
            <v>Ашуров</v>
          </cell>
          <cell r="E12" t="str">
            <v>Хайдар</v>
          </cell>
          <cell r="F12" t="str">
            <v>Наимович</v>
          </cell>
          <cell r="G12">
            <v>36977</v>
          </cell>
          <cell r="H12">
            <v>15</v>
          </cell>
          <cell r="I12">
            <v>10</v>
          </cell>
          <cell r="J12">
            <v>37</v>
          </cell>
          <cell r="K12" t="str">
            <v>ПК-50</v>
          </cell>
          <cell r="L12" t="str">
            <v>Грязи "Катана"</v>
          </cell>
          <cell r="M12" t="str">
            <v>Борисенко А.И.</v>
          </cell>
        </row>
        <row r="13">
          <cell r="B13">
            <v>6</v>
          </cell>
          <cell r="C13" t="str">
            <v>м</v>
          </cell>
          <cell r="D13" t="str">
            <v>Таксопуло</v>
          </cell>
          <cell r="E13" t="str">
            <v>Максим</v>
          </cell>
          <cell r="F13" t="str">
            <v>Игоревич</v>
          </cell>
          <cell r="G13">
            <v>36903</v>
          </cell>
          <cell r="H13">
            <v>15</v>
          </cell>
          <cell r="I13">
            <v>9</v>
          </cell>
          <cell r="J13">
            <v>49</v>
          </cell>
          <cell r="K13" t="str">
            <v>ПК-50</v>
          </cell>
          <cell r="L13" t="str">
            <v>Грязи "Катана"</v>
          </cell>
          <cell r="M13" t="str">
            <v>Козлов А.Э.</v>
          </cell>
        </row>
        <row r="14">
          <cell r="B14">
            <v>7</v>
          </cell>
          <cell r="C14" t="str">
            <v>М</v>
          </cell>
          <cell r="D14" t="str">
            <v xml:space="preserve">Горелкин </v>
          </cell>
          <cell r="E14" t="str">
            <v>Илья</v>
          </cell>
          <cell r="F14" t="str">
            <v>Алексеевич</v>
          </cell>
          <cell r="G14">
            <v>37334</v>
          </cell>
          <cell r="H14">
            <v>14</v>
          </cell>
          <cell r="I14">
            <v>6</v>
          </cell>
          <cell r="J14">
            <v>50</v>
          </cell>
          <cell r="K14" t="str">
            <v>ПК-50</v>
          </cell>
          <cell r="L14" t="str">
            <v>Тамбовская обл</v>
          </cell>
          <cell r="M14" t="str">
            <v>Айриян А.И.</v>
          </cell>
        </row>
        <row r="15">
          <cell r="B15">
            <v>8</v>
          </cell>
          <cell r="C15" t="str">
            <v>М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Торосян</v>
          </cell>
          <cell r="E8" t="str">
            <v>Арман</v>
          </cell>
          <cell r="F8" t="str">
            <v>Арамович</v>
          </cell>
          <cell r="G8">
            <v>37134</v>
          </cell>
          <cell r="H8">
            <v>14</v>
          </cell>
          <cell r="I8">
            <v>10</v>
          </cell>
          <cell r="J8">
            <v>53</v>
          </cell>
          <cell r="K8" t="str">
            <v>ПК-55</v>
          </cell>
          <cell r="L8" t="str">
            <v>Грязи "Катана"</v>
          </cell>
          <cell r="M8" t="str">
            <v>Борисенко А.И.</v>
          </cell>
        </row>
        <row r="9">
          <cell r="B9">
            <v>2</v>
          </cell>
          <cell r="C9" t="str">
            <v>М</v>
          </cell>
          <cell r="D9" t="str">
            <v>Кадреметов</v>
          </cell>
          <cell r="E9" t="str">
            <v>Дамир</v>
          </cell>
          <cell r="F9" t="str">
            <v>Рустамович</v>
          </cell>
          <cell r="G9">
            <v>37004</v>
          </cell>
          <cell r="H9">
            <v>14</v>
          </cell>
          <cell r="I9">
            <v>8</v>
          </cell>
          <cell r="J9">
            <v>54</v>
          </cell>
          <cell r="K9" t="str">
            <v>ПК-55</v>
          </cell>
          <cell r="L9" t="str">
            <v>Грязи "Катана"</v>
          </cell>
          <cell r="M9" t="str">
            <v>Козлов А.Э.</v>
          </cell>
        </row>
        <row r="10">
          <cell r="B10">
            <v>3</v>
          </cell>
          <cell r="C10" t="str">
            <v>М</v>
          </cell>
          <cell r="D10" t="str">
            <v>Блудов</v>
          </cell>
          <cell r="E10" t="str">
            <v>Иван</v>
          </cell>
          <cell r="F10" t="str">
            <v>Романович</v>
          </cell>
          <cell r="G10">
            <v>37327</v>
          </cell>
          <cell r="H10">
            <v>14</v>
          </cell>
          <cell r="I10">
            <v>10</v>
          </cell>
          <cell r="J10">
            <v>52</v>
          </cell>
          <cell r="K10" t="str">
            <v>ПК-55</v>
          </cell>
          <cell r="L10" t="str">
            <v>Тамбовская обл</v>
          </cell>
          <cell r="M10" t="str">
            <v>Кузнецова Е.Н.</v>
          </cell>
        </row>
        <row r="11">
          <cell r="B11">
            <v>4</v>
          </cell>
          <cell r="C11" t="str">
            <v>М</v>
          </cell>
          <cell r="D11" t="str">
            <v>Криворучка</v>
          </cell>
          <cell r="E11" t="str">
            <v>Артем</v>
          </cell>
          <cell r="F11" t="str">
            <v>Валерьевич</v>
          </cell>
          <cell r="G11">
            <v>37130</v>
          </cell>
          <cell r="H11">
            <v>14</v>
          </cell>
          <cell r="I11">
            <v>8</v>
          </cell>
          <cell r="J11">
            <v>52</v>
          </cell>
          <cell r="K11" t="str">
            <v>ПК-55</v>
          </cell>
          <cell r="L11" t="str">
            <v>Тамбовская обл</v>
          </cell>
          <cell r="M11" t="str">
            <v>Антакова Е.В.</v>
          </cell>
        </row>
        <row r="12">
          <cell r="B12">
            <v>5</v>
          </cell>
          <cell r="C12" t="str">
            <v>М</v>
          </cell>
        </row>
        <row r="13">
          <cell r="B13">
            <v>6</v>
          </cell>
          <cell r="C13" t="str">
            <v>М</v>
          </cell>
        </row>
        <row r="14">
          <cell r="B14">
            <v>7</v>
          </cell>
          <cell r="C14" t="str">
            <v>М</v>
          </cell>
        </row>
        <row r="15">
          <cell r="B15">
            <v>8</v>
          </cell>
          <cell r="C15" t="str">
            <v>М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Боев</v>
          </cell>
          <cell r="E8" t="str">
            <v>Александр</v>
          </cell>
          <cell r="F8" t="str">
            <v>Владимирович</v>
          </cell>
          <cell r="G8">
            <v>37243</v>
          </cell>
          <cell r="H8">
            <v>14</v>
          </cell>
          <cell r="I8">
            <v>10</v>
          </cell>
          <cell r="J8">
            <v>56</v>
          </cell>
          <cell r="K8" t="str">
            <v>ПК-60</v>
          </cell>
          <cell r="L8" t="str">
            <v>Грязи "Катана"</v>
          </cell>
          <cell r="M8" t="str">
            <v>Борисенко А.И.</v>
          </cell>
        </row>
        <row r="9">
          <cell r="B9">
            <v>2</v>
          </cell>
          <cell r="C9" t="str">
            <v>М</v>
          </cell>
          <cell r="D9" t="str">
            <v xml:space="preserve">Минаков </v>
          </cell>
          <cell r="E9" t="str">
            <v>Артем</v>
          </cell>
          <cell r="F9" t="str">
            <v>Сергеевич</v>
          </cell>
          <cell r="G9">
            <v>36917</v>
          </cell>
          <cell r="H9">
            <v>15</v>
          </cell>
          <cell r="I9">
            <v>9</v>
          </cell>
          <cell r="J9">
            <v>56</v>
          </cell>
          <cell r="K9" t="str">
            <v>ПК-60</v>
          </cell>
          <cell r="L9" t="str">
            <v>Грязи</v>
          </cell>
          <cell r="M9" t="str">
            <v>Моисеев И.Н.</v>
          </cell>
        </row>
        <row r="10">
          <cell r="B10">
            <v>3</v>
          </cell>
          <cell r="C10" t="str">
            <v>М</v>
          </cell>
          <cell r="D10" t="str">
            <v xml:space="preserve">Долгих </v>
          </cell>
          <cell r="E10" t="str">
            <v>Анатолий</v>
          </cell>
          <cell r="F10" t="str">
            <v>Андреевич</v>
          </cell>
          <cell r="G10">
            <v>36702</v>
          </cell>
          <cell r="H10">
            <v>15</v>
          </cell>
          <cell r="I10">
            <v>7</v>
          </cell>
          <cell r="J10">
            <v>57</v>
          </cell>
          <cell r="K10" t="str">
            <v>ПК-60</v>
          </cell>
          <cell r="L10" t="str">
            <v>Задонск</v>
          </cell>
          <cell r="M10" t="str">
            <v>Лобеев А.А.</v>
          </cell>
        </row>
        <row r="11">
          <cell r="B11">
            <v>4</v>
          </cell>
          <cell r="C11" t="str">
            <v>М</v>
          </cell>
          <cell r="D11" t="str">
            <v>Казьмин</v>
          </cell>
          <cell r="E11" t="str">
            <v>Владимир</v>
          </cell>
          <cell r="F11" t="str">
            <v>Евгеньевич</v>
          </cell>
          <cell r="G11">
            <v>36713</v>
          </cell>
          <cell r="H11">
            <v>15</v>
          </cell>
          <cell r="I11">
            <v>3</v>
          </cell>
          <cell r="J11">
            <v>58</v>
          </cell>
          <cell r="K11" t="str">
            <v>ПК-60</v>
          </cell>
          <cell r="L11" t="str">
            <v>Елец</v>
          </cell>
          <cell r="M11" t="str">
            <v>Сальков П.С.</v>
          </cell>
        </row>
        <row r="12">
          <cell r="B12">
            <v>5</v>
          </cell>
          <cell r="C12" t="str">
            <v>М</v>
          </cell>
          <cell r="D12" t="str">
            <v xml:space="preserve">Гриценко </v>
          </cell>
          <cell r="E12" t="str">
            <v xml:space="preserve">Константин </v>
          </cell>
          <cell r="F12" t="str">
            <v>Александрович</v>
          </cell>
          <cell r="G12">
            <v>37092</v>
          </cell>
          <cell r="H12">
            <v>14</v>
          </cell>
          <cell r="J12">
            <v>59</v>
          </cell>
          <cell r="K12" t="str">
            <v>ПК-60</v>
          </cell>
          <cell r="L12" t="str">
            <v>Россошь Сакура</v>
          </cell>
          <cell r="M12" t="str">
            <v>Кульбакин А.С</v>
          </cell>
        </row>
        <row r="13">
          <cell r="B13">
            <v>6</v>
          </cell>
          <cell r="C13" t="str">
            <v>М</v>
          </cell>
          <cell r="D13" t="str">
            <v>Филипов</v>
          </cell>
          <cell r="E13" t="str">
            <v>Андрей</v>
          </cell>
          <cell r="G13">
            <v>37455</v>
          </cell>
          <cell r="H13">
            <v>14</v>
          </cell>
          <cell r="I13">
            <v>6</v>
          </cell>
          <cell r="J13" t="str">
            <v>59.7</v>
          </cell>
          <cell r="K13" t="str">
            <v>ПК-60</v>
          </cell>
          <cell r="L13" t="str">
            <v>Тамбовская обл</v>
          </cell>
          <cell r="M13" t="str">
            <v>Кормушкин Е.Г.</v>
          </cell>
        </row>
        <row r="14">
          <cell r="B14">
            <v>7</v>
          </cell>
          <cell r="C14" t="str">
            <v>М</v>
          </cell>
        </row>
        <row r="15">
          <cell r="B15">
            <v>8</v>
          </cell>
          <cell r="C15" t="str">
            <v>М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Бурлаков</v>
          </cell>
          <cell r="E8" t="str">
            <v>Дмитрий</v>
          </cell>
          <cell r="F8" t="str">
            <v>Владимирович</v>
          </cell>
          <cell r="G8">
            <v>37248</v>
          </cell>
          <cell r="H8">
            <v>14</v>
          </cell>
          <cell r="I8">
            <v>8</v>
          </cell>
          <cell r="J8">
            <v>62</v>
          </cell>
          <cell r="K8" t="str">
            <v>ПК -75</v>
          </cell>
          <cell r="L8" t="str">
            <v>Грязи</v>
          </cell>
          <cell r="M8" t="str">
            <v>Моисеев И.Н.</v>
          </cell>
        </row>
        <row r="9">
          <cell r="B9">
            <v>2</v>
          </cell>
          <cell r="C9" t="str">
            <v>М</v>
          </cell>
          <cell r="D9" t="str">
            <v>Батищев</v>
          </cell>
          <cell r="E9" t="str">
            <v>Кирилл</v>
          </cell>
          <cell r="F9" t="str">
            <v>Русланович</v>
          </cell>
          <cell r="G9">
            <v>36698</v>
          </cell>
          <cell r="H9">
            <v>15</v>
          </cell>
          <cell r="I9">
            <v>7</v>
          </cell>
          <cell r="J9">
            <v>68</v>
          </cell>
          <cell r="K9" t="str">
            <v>ПК -75</v>
          </cell>
          <cell r="L9" t="str">
            <v>Грязи</v>
          </cell>
          <cell r="M9" t="str">
            <v>Моисеев И.Н.</v>
          </cell>
        </row>
        <row r="10">
          <cell r="B10">
            <v>3</v>
          </cell>
          <cell r="C10" t="str">
            <v>М</v>
          </cell>
          <cell r="D10" t="str">
            <v>Орлов</v>
          </cell>
          <cell r="E10" t="str">
            <v>Максим</v>
          </cell>
          <cell r="F10" t="str">
            <v>Викторович</v>
          </cell>
          <cell r="G10">
            <v>37186</v>
          </cell>
          <cell r="H10">
            <v>14</v>
          </cell>
          <cell r="I10">
            <v>8</v>
          </cell>
          <cell r="J10">
            <v>68</v>
          </cell>
          <cell r="K10" t="str">
            <v>ПК -75</v>
          </cell>
          <cell r="L10" t="str">
            <v>Елец</v>
          </cell>
          <cell r="M10" t="str">
            <v>Акопян А.В.</v>
          </cell>
        </row>
        <row r="11">
          <cell r="B11">
            <v>4</v>
          </cell>
          <cell r="C11" t="str">
            <v>М</v>
          </cell>
          <cell r="D11" t="str">
            <v>Гордеев</v>
          </cell>
          <cell r="E11" t="str">
            <v>Иван</v>
          </cell>
          <cell r="F11" t="str">
            <v>Алексеевич</v>
          </cell>
          <cell r="G11">
            <v>36709</v>
          </cell>
          <cell r="H11">
            <v>15</v>
          </cell>
          <cell r="I11">
            <v>5</v>
          </cell>
          <cell r="J11">
            <v>74</v>
          </cell>
          <cell r="K11" t="str">
            <v>ПК -75</v>
          </cell>
          <cell r="L11" t="str">
            <v>Елец</v>
          </cell>
          <cell r="M11" t="str">
            <v>Бейк Е.В.</v>
          </cell>
        </row>
        <row r="12">
          <cell r="B12">
            <v>5</v>
          </cell>
          <cell r="C12" t="str">
            <v>М</v>
          </cell>
          <cell r="D12" t="str">
            <v>Глотов</v>
          </cell>
          <cell r="E12" t="str">
            <v>Данил</v>
          </cell>
          <cell r="F12" t="str">
            <v>Вадимович</v>
          </cell>
          <cell r="G12" t="str">
            <v>28.042001</v>
          </cell>
          <cell r="H12">
            <v>14</v>
          </cell>
          <cell r="I12">
            <v>10</v>
          </cell>
          <cell r="J12">
            <v>74</v>
          </cell>
          <cell r="K12" t="str">
            <v>ПК -75</v>
          </cell>
          <cell r="L12" t="str">
            <v>Липецк IKO</v>
          </cell>
          <cell r="M12" t="str">
            <v>Горбунов А.С</v>
          </cell>
        </row>
        <row r="13">
          <cell r="B13">
            <v>6</v>
          </cell>
          <cell r="C13" t="str">
            <v>М</v>
          </cell>
          <cell r="D13" t="str">
            <v xml:space="preserve">Черноиванов </v>
          </cell>
          <cell r="E13" t="str">
            <v xml:space="preserve">Роман </v>
          </cell>
          <cell r="F13" t="str">
            <v>Иванович</v>
          </cell>
          <cell r="G13">
            <v>37279</v>
          </cell>
          <cell r="H13">
            <v>14</v>
          </cell>
          <cell r="J13">
            <v>69</v>
          </cell>
          <cell r="K13" t="str">
            <v>ПК -75</v>
          </cell>
          <cell r="L13" t="str">
            <v>Россошь Сакура</v>
          </cell>
          <cell r="M13" t="str">
            <v>Кульбакин А.С</v>
          </cell>
        </row>
        <row r="14">
          <cell r="B14">
            <v>7</v>
          </cell>
          <cell r="C14" t="str">
            <v>М</v>
          </cell>
          <cell r="D14" t="str">
            <v xml:space="preserve">Сытинский </v>
          </cell>
          <cell r="E14" t="str">
            <v>Михаил</v>
          </cell>
          <cell r="F14" t="str">
            <v>Владимирович</v>
          </cell>
          <cell r="G14">
            <v>37173</v>
          </cell>
          <cell r="H14">
            <v>14</v>
          </cell>
          <cell r="I14">
            <v>5</v>
          </cell>
          <cell r="J14">
            <v>65</v>
          </cell>
          <cell r="K14" t="str">
            <v>ПК -75</v>
          </cell>
          <cell r="L14" t="str">
            <v>Тамбовская обл</v>
          </cell>
          <cell r="M14" t="str">
            <v>Антакова Е.В.</v>
          </cell>
        </row>
        <row r="15">
          <cell r="B15">
            <v>8</v>
          </cell>
          <cell r="C15" t="str">
            <v>М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Селиверстов</v>
          </cell>
          <cell r="E8" t="str">
            <v>Даниил</v>
          </cell>
          <cell r="F8" t="str">
            <v>Николаевич</v>
          </cell>
          <cell r="G8">
            <v>37039</v>
          </cell>
          <cell r="H8">
            <v>14</v>
          </cell>
          <cell r="I8">
            <v>6</v>
          </cell>
          <cell r="J8">
            <v>80</v>
          </cell>
          <cell r="K8" t="str">
            <v>ПК 85</v>
          </cell>
          <cell r="L8" t="str">
            <v>Елец</v>
          </cell>
          <cell r="M8" t="str">
            <v>Акопян А.В</v>
          </cell>
        </row>
        <row r="9">
          <cell r="B9">
            <v>2</v>
          </cell>
          <cell r="C9" t="str">
            <v>М</v>
          </cell>
          <cell r="D9" t="str">
            <v xml:space="preserve">Рыбкин </v>
          </cell>
          <cell r="E9" t="str">
            <v>Александр</v>
          </cell>
          <cell r="F9" t="str">
            <v>Валерьевич</v>
          </cell>
          <cell r="G9">
            <v>36646</v>
          </cell>
          <cell r="H9">
            <v>15</v>
          </cell>
          <cell r="I9">
            <v>4</v>
          </cell>
          <cell r="J9">
            <v>79</v>
          </cell>
          <cell r="K9" t="str">
            <v>ПК 85</v>
          </cell>
          <cell r="L9" t="str">
            <v>Липецк IKO</v>
          </cell>
          <cell r="M9" t="str">
            <v>Бедоян В.Г</v>
          </cell>
        </row>
        <row r="10">
          <cell r="B10">
            <v>3</v>
          </cell>
          <cell r="C10" t="str">
            <v>М</v>
          </cell>
          <cell r="D10" t="str">
            <v xml:space="preserve">Краснобородько </v>
          </cell>
          <cell r="E10" t="str">
            <v>Иван</v>
          </cell>
          <cell r="F10" t="str">
            <v>Дмитриевич</v>
          </cell>
          <cell r="G10">
            <v>36867</v>
          </cell>
          <cell r="H10">
            <v>15</v>
          </cell>
          <cell r="I10">
            <v>4</v>
          </cell>
          <cell r="J10">
            <v>77</v>
          </cell>
          <cell r="K10" t="str">
            <v>ПК 85</v>
          </cell>
          <cell r="L10" t="str">
            <v>Липецк IKO</v>
          </cell>
          <cell r="M10" t="str">
            <v>Бедоян В.Г</v>
          </cell>
        </row>
        <row r="11">
          <cell r="B11">
            <v>4</v>
          </cell>
          <cell r="C11" t="str">
            <v>М</v>
          </cell>
          <cell r="D11" t="str">
            <v>Митяев</v>
          </cell>
          <cell r="E11" t="str">
            <v>Арсений</v>
          </cell>
          <cell r="F11" t="str">
            <v>Сергеевич </v>
          </cell>
          <cell r="G11">
            <v>36749</v>
          </cell>
          <cell r="H11">
            <v>15</v>
          </cell>
          <cell r="I11">
            <v>5</v>
          </cell>
          <cell r="J11">
            <v>85</v>
          </cell>
          <cell r="K11" t="str">
            <v>ПК 85</v>
          </cell>
          <cell r="L11" t="str">
            <v>Елец</v>
          </cell>
          <cell r="M11" t="str">
            <v>Бейк Е.В.</v>
          </cell>
        </row>
        <row r="12">
          <cell r="B12">
            <v>5</v>
          </cell>
          <cell r="C12" t="str">
            <v>М</v>
          </cell>
          <cell r="D12" t="str">
            <v>Рязанцев</v>
          </cell>
          <cell r="E12" t="str">
            <v>Алексей</v>
          </cell>
          <cell r="F12" t="str">
            <v>Алексеевич</v>
          </cell>
          <cell r="G12">
            <v>37315</v>
          </cell>
          <cell r="H12">
            <v>14</v>
          </cell>
          <cell r="I12">
            <v>6</v>
          </cell>
          <cell r="J12">
            <v>82</v>
          </cell>
          <cell r="K12" t="str">
            <v>ПК 85</v>
          </cell>
          <cell r="L12" t="str">
            <v>Липецк KAN</v>
          </cell>
          <cell r="M12" t="str">
            <v>Цуканов А.С.</v>
          </cell>
        </row>
        <row r="13">
          <cell r="B13">
            <v>6</v>
          </cell>
          <cell r="C13" t="str">
            <v>М</v>
          </cell>
          <cell r="D13" t="str">
            <v>Медведев</v>
          </cell>
          <cell r="E13" t="str">
            <v xml:space="preserve">Вячеслав </v>
          </cell>
          <cell r="F13" t="str">
            <v>Сергеевич</v>
          </cell>
          <cell r="G13">
            <v>36878</v>
          </cell>
          <cell r="H13">
            <v>15</v>
          </cell>
          <cell r="I13">
            <v>9</v>
          </cell>
          <cell r="J13">
            <v>84</v>
          </cell>
          <cell r="K13" t="str">
            <v>ПК 85</v>
          </cell>
          <cell r="L13" t="str">
            <v>Тамбовская обл</v>
          </cell>
          <cell r="M13" t="str">
            <v>Семишова Н.Н.</v>
          </cell>
        </row>
        <row r="14">
          <cell r="B14">
            <v>7</v>
          </cell>
          <cell r="C14" t="str">
            <v>М</v>
          </cell>
        </row>
        <row r="15">
          <cell r="B15">
            <v>8</v>
          </cell>
          <cell r="C15" t="str">
            <v>М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Ковалев</v>
          </cell>
          <cell r="E8" t="str">
            <v>Захар</v>
          </cell>
          <cell r="F8" t="str">
            <v>Сергеевич</v>
          </cell>
          <cell r="G8">
            <v>39439</v>
          </cell>
          <cell r="H8">
            <v>9</v>
          </cell>
          <cell r="I8">
            <v>10</v>
          </cell>
          <cell r="J8">
            <v>28</v>
          </cell>
          <cell r="K8" t="str">
            <v>ПК 29</v>
          </cell>
          <cell r="L8" t="str">
            <v>Грязи "Катана"</v>
          </cell>
          <cell r="M8" t="str">
            <v>Козлов А.Э.</v>
          </cell>
        </row>
        <row r="9">
          <cell r="B9">
            <v>2</v>
          </cell>
          <cell r="C9" t="str">
            <v>М</v>
          </cell>
          <cell r="D9" t="str">
            <v>Чалов</v>
          </cell>
          <cell r="E9" t="str">
            <v>Иван</v>
          </cell>
          <cell r="F9" t="str">
            <v>Андреевич</v>
          </cell>
          <cell r="G9">
            <v>38991</v>
          </cell>
          <cell r="H9">
            <v>9</v>
          </cell>
          <cell r="I9">
            <v>8</v>
          </cell>
          <cell r="J9">
            <v>28</v>
          </cell>
          <cell r="K9" t="str">
            <v>ПК 29</v>
          </cell>
          <cell r="L9" t="str">
            <v>Москва</v>
          </cell>
          <cell r="M9" t="str">
            <v>Анаян О.Г.</v>
          </cell>
        </row>
        <row r="10">
          <cell r="B10">
            <v>3</v>
          </cell>
          <cell r="C10" t="str">
            <v>М</v>
          </cell>
          <cell r="D10" t="str">
            <v>Макавей</v>
          </cell>
          <cell r="E10" t="str">
            <v>Александр</v>
          </cell>
          <cell r="F10" t="str">
            <v>Валентинович</v>
          </cell>
          <cell r="G10">
            <v>39405</v>
          </cell>
          <cell r="H10">
            <v>8</v>
          </cell>
          <cell r="I10">
            <v>10</v>
          </cell>
          <cell r="J10">
            <v>28</v>
          </cell>
          <cell r="K10" t="str">
            <v>ПК 29</v>
          </cell>
          <cell r="L10" t="str">
            <v>Липецк IKO</v>
          </cell>
          <cell r="M10" t="str">
            <v>Горбунов А.С</v>
          </cell>
        </row>
        <row r="11">
          <cell r="B11">
            <v>4</v>
          </cell>
          <cell r="C11" t="str">
            <v>М</v>
          </cell>
          <cell r="D11" t="str">
            <v>Тадэвосян</v>
          </cell>
          <cell r="E11" t="str">
            <v>Карюн</v>
          </cell>
          <cell r="F11" t="str">
            <v>Араратович</v>
          </cell>
          <cell r="G11">
            <v>39145</v>
          </cell>
          <cell r="H11">
            <v>9</v>
          </cell>
          <cell r="I11">
            <v>9</v>
          </cell>
          <cell r="J11">
            <v>28</v>
          </cell>
          <cell r="K11" t="str">
            <v>ПК 29</v>
          </cell>
          <cell r="L11" t="str">
            <v>Липецк IKO</v>
          </cell>
          <cell r="M11" t="str">
            <v>Горбунов А.С.</v>
          </cell>
        </row>
        <row r="12">
          <cell r="B12">
            <v>5</v>
          </cell>
          <cell r="C12" t="str">
            <v>М</v>
          </cell>
          <cell r="D12" t="str">
            <v>Шишлов</v>
          </cell>
          <cell r="E12" t="str">
            <v>Дмитрий</v>
          </cell>
          <cell r="F12" t="str">
            <v>Алексеевич</v>
          </cell>
          <cell r="G12">
            <v>39147</v>
          </cell>
          <cell r="H12">
            <v>9</v>
          </cell>
          <cell r="I12">
            <v>8</v>
          </cell>
          <cell r="J12">
            <v>29</v>
          </cell>
          <cell r="K12" t="str">
            <v>ПК 29</v>
          </cell>
          <cell r="L12" t="str">
            <v>Воронеж</v>
          </cell>
          <cell r="M12" t="str">
            <v>Хрепко В.А.</v>
          </cell>
        </row>
        <row r="13">
          <cell r="B13">
            <v>6</v>
          </cell>
          <cell r="C13" t="str">
            <v>М</v>
          </cell>
          <cell r="D13" t="str">
            <v>Григоренко</v>
          </cell>
          <cell r="E13" t="str">
            <v>Валерий</v>
          </cell>
          <cell r="F13" t="str">
            <v>Михайлович</v>
          </cell>
          <cell r="G13">
            <v>38872</v>
          </cell>
          <cell r="H13">
            <v>9</v>
          </cell>
          <cell r="I13">
            <v>9</v>
          </cell>
          <cell r="J13">
            <v>29</v>
          </cell>
          <cell r="K13" t="str">
            <v>ПК 29</v>
          </cell>
          <cell r="L13" t="str">
            <v>Грязи</v>
          </cell>
          <cell r="M13" t="str">
            <v>Моисеев И.Н.</v>
          </cell>
        </row>
        <row r="14">
          <cell r="B14">
            <v>7</v>
          </cell>
          <cell r="C14" t="str">
            <v>М</v>
          </cell>
          <cell r="D14" t="str">
            <v xml:space="preserve">Тихонов </v>
          </cell>
          <cell r="E14" t="str">
            <v>Александр</v>
          </cell>
          <cell r="F14" t="str">
            <v>Александрович</v>
          </cell>
          <cell r="G14">
            <v>38812</v>
          </cell>
          <cell r="H14">
            <v>9</v>
          </cell>
          <cell r="I14">
            <v>8</v>
          </cell>
          <cell r="J14">
            <v>29</v>
          </cell>
          <cell r="K14" t="str">
            <v>ПК</v>
          </cell>
          <cell r="L14" t="str">
            <v>Елец</v>
          </cell>
          <cell r="M14" t="str">
            <v>Акопян А.В</v>
          </cell>
        </row>
        <row r="15">
          <cell r="B15">
            <v>8</v>
          </cell>
          <cell r="C15" t="str">
            <v>М</v>
          </cell>
          <cell r="D15" t="str">
            <v xml:space="preserve">Шварц </v>
          </cell>
          <cell r="E15" t="str">
            <v>Максим</v>
          </cell>
          <cell r="F15" t="str">
            <v>Андреевич</v>
          </cell>
          <cell r="G15">
            <v>39266</v>
          </cell>
          <cell r="H15">
            <v>8</v>
          </cell>
          <cell r="I15">
            <v>8</v>
          </cell>
          <cell r="J15">
            <v>29</v>
          </cell>
          <cell r="K15" t="str">
            <v>ПК 29</v>
          </cell>
          <cell r="L15" t="str">
            <v>Елец</v>
          </cell>
          <cell r="M15" t="str">
            <v>Акопян А.В</v>
          </cell>
        </row>
        <row r="16">
          <cell r="B16">
            <v>9</v>
          </cell>
          <cell r="C16" t="str">
            <v>М</v>
          </cell>
          <cell r="D16" t="str">
            <v xml:space="preserve">Оборотов </v>
          </cell>
          <cell r="E16" t="str">
            <v>Дмитрий</v>
          </cell>
          <cell r="H16">
            <v>9</v>
          </cell>
          <cell r="I16">
            <v>10</v>
          </cell>
          <cell r="J16">
            <v>29</v>
          </cell>
          <cell r="K16" t="str">
            <v>ПК 29</v>
          </cell>
          <cell r="L16" t="str">
            <v>Елец</v>
          </cell>
          <cell r="M16" t="str">
            <v>Акопян А.В.</v>
          </cell>
        </row>
        <row r="17">
          <cell r="B17">
            <v>10</v>
          </cell>
          <cell r="C17" t="str">
            <v>М</v>
          </cell>
          <cell r="D17" t="str">
            <v>Бурков</v>
          </cell>
          <cell r="E17" t="str">
            <v>Даниил</v>
          </cell>
          <cell r="F17" t="str">
            <v>Дмитриевич</v>
          </cell>
          <cell r="G17">
            <v>38864</v>
          </cell>
          <cell r="H17">
            <v>9</v>
          </cell>
          <cell r="I17">
            <v>10</v>
          </cell>
          <cell r="J17">
            <v>29</v>
          </cell>
          <cell r="K17" t="str">
            <v>ПК 29</v>
          </cell>
          <cell r="L17" t="str">
            <v>Елец</v>
          </cell>
          <cell r="M17" t="str">
            <v>Акопян А.В.</v>
          </cell>
        </row>
        <row r="18">
          <cell r="B18">
            <v>11</v>
          </cell>
          <cell r="C18" t="str">
            <v>М</v>
          </cell>
          <cell r="D18" t="str">
            <v>Кирюхин</v>
          </cell>
          <cell r="E18" t="str">
            <v xml:space="preserve">Алексей </v>
          </cell>
          <cell r="F18" t="str">
            <v>Алексеевич</v>
          </cell>
          <cell r="G18">
            <v>38863</v>
          </cell>
          <cell r="H18">
            <v>9</v>
          </cell>
          <cell r="I18">
            <v>10</v>
          </cell>
          <cell r="J18">
            <v>29</v>
          </cell>
          <cell r="K18" t="str">
            <v>ПК 29</v>
          </cell>
          <cell r="L18" t="str">
            <v>Елец</v>
          </cell>
          <cell r="M18" t="str">
            <v xml:space="preserve">Кобзев М.А. </v>
          </cell>
        </row>
        <row r="19">
          <cell r="B19">
            <v>12</v>
          </cell>
          <cell r="C19" t="str">
            <v>М</v>
          </cell>
          <cell r="D19" t="str">
            <v xml:space="preserve">Батраков </v>
          </cell>
          <cell r="E19" t="str">
            <v xml:space="preserve">Никита </v>
          </cell>
          <cell r="F19" t="str">
            <v>Викторович</v>
          </cell>
          <cell r="G19" t="str">
            <v>26.07.2006.</v>
          </cell>
          <cell r="H19">
            <v>9</v>
          </cell>
          <cell r="I19">
            <v>10</v>
          </cell>
          <cell r="J19">
            <v>28</v>
          </cell>
          <cell r="K19" t="str">
            <v>ПК 29</v>
          </cell>
          <cell r="L19" t="str">
            <v>Россошь Сакура</v>
          </cell>
          <cell r="M19" t="str">
            <v>Кульбакин А.С</v>
          </cell>
        </row>
        <row r="20">
          <cell r="B20">
            <v>13</v>
          </cell>
          <cell r="C20" t="str">
            <v>М</v>
          </cell>
          <cell r="D20" t="str">
            <v xml:space="preserve">Лаптев </v>
          </cell>
          <cell r="E20" t="str">
            <v xml:space="preserve">Иван </v>
          </cell>
          <cell r="F20" t="str">
            <v>Юрьевич</v>
          </cell>
          <cell r="G20" t="str">
            <v>19.09.2006.</v>
          </cell>
          <cell r="H20">
            <v>9</v>
          </cell>
          <cell r="J20">
            <v>29</v>
          </cell>
          <cell r="K20" t="str">
            <v>ПК 29</v>
          </cell>
          <cell r="L20" t="str">
            <v>Россошь Сакура</v>
          </cell>
          <cell r="M20" t="str">
            <v>Басова А.В.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  <cell r="C24" t="str">
            <v>М</v>
          </cell>
        </row>
        <row r="25">
          <cell r="B25">
            <v>18</v>
          </cell>
          <cell r="C25" t="str">
            <v>М</v>
          </cell>
        </row>
        <row r="26">
          <cell r="B26">
            <v>19</v>
          </cell>
          <cell r="C26" t="str">
            <v>М</v>
          </cell>
        </row>
        <row r="27">
          <cell r="B27">
            <v>20</v>
          </cell>
          <cell r="C27" t="str">
            <v>М</v>
          </cell>
        </row>
        <row r="28">
          <cell r="B28">
            <v>21</v>
          </cell>
          <cell r="C28" t="str">
            <v>М</v>
          </cell>
        </row>
        <row r="29">
          <cell r="B29">
            <v>22</v>
          </cell>
          <cell r="C29" t="str">
            <v>М</v>
          </cell>
        </row>
        <row r="30">
          <cell r="B30">
            <v>23</v>
          </cell>
          <cell r="C30" t="str">
            <v>М</v>
          </cell>
        </row>
        <row r="31">
          <cell r="B31">
            <v>24</v>
          </cell>
          <cell r="C31" t="str">
            <v>М</v>
          </cell>
        </row>
        <row r="32">
          <cell r="B32">
            <v>25</v>
          </cell>
          <cell r="C32" t="str">
            <v>М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Брильков</v>
          </cell>
          <cell r="E8" t="str">
            <v>Владислав</v>
          </cell>
          <cell r="F8" t="str">
            <v>Николаевич</v>
          </cell>
          <cell r="G8">
            <v>36244</v>
          </cell>
          <cell r="H8">
            <v>17</v>
          </cell>
          <cell r="I8">
            <v>4</v>
          </cell>
          <cell r="J8">
            <v>53</v>
          </cell>
          <cell r="K8" t="str">
            <v>ПК-60</v>
          </cell>
          <cell r="L8" t="str">
            <v>Грязи</v>
          </cell>
          <cell r="M8" t="str">
            <v>Попов И.В.</v>
          </cell>
        </row>
        <row r="9">
          <cell r="B9">
            <v>2</v>
          </cell>
          <cell r="C9" t="str">
            <v>М</v>
          </cell>
          <cell r="D9" t="str">
            <v>Хофизов</v>
          </cell>
          <cell r="E9" t="str">
            <v>Мухаммадазим</v>
          </cell>
          <cell r="F9" t="str">
            <v>Хофизович</v>
          </cell>
          <cell r="G9">
            <v>36513</v>
          </cell>
          <cell r="H9">
            <v>16</v>
          </cell>
          <cell r="I9">
            <v>8</v>
          </cell>
          <cell r="J9">
            <v>54</v>
          </cell>
          <cell r="K9" t="str">
            <v>ПК-60</v>
          </cell>
          <cell r="L9" t="str">
            <v>Грязи "Катана"</v>
          </cell>
          <cell r="M9" t="str">
            <v>Борисенко А.И.</v>
          </cell>
        </row>
        <row r="10">
          <cell r="B10">
            <v>3</v>
          </cell>
          <cell r="C10" t="str">
            <v>М</v>
          </cell>
          <cell r="D10" t="str">
            <v>Тихомиров</v>
          </cell>
          <cell r="E10" t="str">
            <v>Даниил</v>
          </cell>
          <cell r="F10" t="str">
            <v>Андреевич</v>
          </cell>
          <cell r="G10">
            <v>36102</v>
          </cell>
          <cell r="H10">
            <v>17</v>
          </cell>
          <cell r="I10">
            <v>2</v>
          </cell>
          <cell r="J10">
            <v>55</v>
          </cell>
          <cell r="K10" t="str">
            <v>ПК-60</v>
          </cell>
          <cell r="L10" t="str">
            <v>Елец</v>
          </cell>
          <cell r="M10" t="str">
            <v>Сальков П.С.</v>
          </cell>
        </row>
        <row r="11">
          <cell r="B11">
            <v>4</v>
          </cell>
          <cell r="C11" t="str">
            <v>М</v>
          </cell>
          <cell r="D11" t="str">
            <v>Прокофьев</v>
          </cell>
          <cell r="E11" t="str">
            <v>Данил</v>
          </cell>
          <cell r="F11" t="str">
            <v>Валерьевич</v>
          </cell>
          <cell r="G11">
            <v>36261</v>
          </cell>
          <cell r="H11">
            <v>16</v>
          </cell>
          <cell r="I11">
            <v>5</v>
          </cell>
          <cell r="J11">
            <v>59</v>
          </cell>
          <cell r="K11" t="str">
            <v>ПК-60</v>
          </cell>
          <cell r="L11" t="str">
            <v>Елец</v>
          </cell>
          <cell r="M11" t="str">
            <v>Бейк Е.В.</v>
          </cell>
        </row>
        <row r="12">
          <cell r="B12">
            <v>5</v>
          </cell>
          <cell r="C12" t="str">
            <v>М</v>
          </cell>
          <cell r="D12" t="str">
            <v>Воронин</v>
          </cell>
          <cell r="E12" t="str">
            <v>Никита</v>
          </cell>
          <cell r="F12" t="str">
            <v>Сергеевич</v>
          </cell>
          <cell r="G12">
            <v>36549</v>
          </cell>
          <cell r="H12">
            <v>16</v>
          </cell>
          <cell r="I12" t="str">
            <v>2 кю</v>
          </cell>
          <cell r="J12">
            <v>54</v>
          </cell>
          <cell r="K12" t="str">
            <v>ПК-60</v>
          </cell>
          <cell r="L12" t="str">
            <v>Москва</v>
          </cell>
          <cell r="M12" t="str">
            <v>Анаян О.Г.</v>
          </cell>
        </row>
        <row r="13">
          <cell r="B13">
            <v>6</v>
          </cell>
          <cell r="C13" t="str">
            <v>М</v>
          </cell>
          <cell r="D13" t="str">
            <v xml:space="preserve">Кутузов </v>
          </cell>
          <cell r="E13" t="str">
            <v>Андрей</v>
          </cell>
          <cell r="F13" t="str">
            <v>Валентинович</v>
          </cell>
          <cell r="G13">
            <v>36040</v>
          </cell>
          <cell r="H13">
            <v>17</v>
          </cell>
          <cell r="I13">
            <v>4</v>
          </cell>
          <cell r="J13">
            <v>59</v>
          </cell>
          <cell r="K13" t="str">
            <v>ПК-60</v>
          </cell>
          <cell r="L13" t="str">
            <v>Тамбовская обл</v>
          </cell>
          <cell r="M13" t="str">
            <v>Кузнецова Е.Н.</v>
          </cell>
        </row>
        <row r="14">
          <cell r="B14">
            <v>7</v>
          </cell>
          <cell r="C14" t="str">
            <v>М</v>
          </cell>
          <cell r="D14" t="str">
            <v>Карагезов</v>
          </cell>
          <cell r="E14" t="str">
            <v>Эльмар</v>
          </cell>
          <cell r="G14">
            <v>36224</v>
          </cell>
          <cell r="H14">
            <v>17</v>
          </cell>
          <cell r="I14">
            <v>5</v>
          </cell>
          <cell r="J14">
            <v>52</v>
          </cell>
          <cell r="K14" t="str">
            <v>ПК-60</v>
          </cell>
          <cell r="L14" t="str">
            <v>Тамбовская обл</v>
          </cell>
          <cell r="M14" t="str">
            <v>Кормушкин Е.Г.</v>
          </cell>
        </row>
        <row r="15">
          <cell r="B15">
            <v>8</v>
          </cell>
          <cell r="C15" t="str">
            <v>М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Цветков</v>
          </cell>
          <cell r="E8" t="str">
            <v>Владислав</v>
          </cell>
          <cell r="F8" t="str">
            <v>Владимирович</v>
          </cell>
          <cell r="G8">
            <v>36343</v>
          </cell>
          <cell r="H8">
            <v>16</v>
          </cell>
          <cell r="I8">
            <v>2</v>
          </cell>
          <cell r="J8">
            <v>69</v>
          </cell>
          <cell r="K8" t="str">
            <v>ПК-75</v>
          </cell>
          <cell r="L8" t="str">
            <v>Липецк KAN</v>
          </cell>
          <cell r="M8" t="str">
            <v>Чернухина Д.Д.</v>
          </cell>
        </row>
        <row r="9">
          <cell r="B9">
            <v>2</v>
          </cell>
          <cell r="C9" t="str">
            <v>М</v>
          </cell>
          <cell r="D9" t="str">
            <v>Денисов</v>
          </cell>
          <cell r="E9" t="str">
            <v>Александр</v>
          </cell>
          <cell r="F9" t="str">
            <v>Владимирович</v>
          </cell>
          <cell r="G9">
            <v>36006</v>
          </cell>
          <cell r="H9">
            <v>17</v>
          </cell>
          <cell r="I9">
            <v>3</v>
          </cell>
          <cell r="J9">
            <v>72</v>
          </cell>
          <cell r="K9" t="str">
            <v>ПК-75</v>
          </cell>
          <cell r="L9" t="str">
            <v>Грязи</v>
          </cell>
          <cell r="M9" t="str">
            <v>Попов И.В.</v>
          </cell>
        </row>
        <row r="10">
          <cell r="B10">
            <v>3</v>
          </cell>
          <cell r="C10" t="str">
            <v>М</v>
          </cell>
          <cell r="D10" t="str">
            <v>Кулешов</v>
          </cell>
          <cell r="E10" t="str">
            <v>Кирилл</v>
          </cell>
          <cell r="F10" t="str">
            <v>Георгиевич</v>
          </cell>
          <cell r="G10">
            <v>36255</v>
          </cell>
          <cell r="H10">
            <v>16</v>
          </cell>
          <cell r="I10">
            <v>9</v>
          </cell>
          <cell r="J10">
            <v>72</v>
          </cell>
          <cell r="K10" t="str">
            <v>ПК-75</v>
          </cell>
          <cell r="L10" t="str">
            <v>Грязи</v>
          </cell>
          <cell r="M10" t="str">
            <v>Попов И.В.</v>
          </cell>
        </row>
        <row r="11">
          <cell r="B11">
            <v>4</v>
          </cell>
          <cell r="C11" t="str">
            <v>М</v>
          </cell>
          <cell r="D11" t="str">
            <v>Гурьянов</v>
          </cell>
          <cell r="E11" t="str">
            <v>Илья</v>
          </cell>
          <cell r="F11" t="str">
            <v>Андреевич</v>
          </cell>
          <cell r="G11">
            <v>36444</v>
          </cell>
          <cell r="H11">
            <v>16</v>
          </cell>
          <cell r="I11">
            <v>9</v>
          </cell>
          <cell r="J11">
            <v>73</v>
          </cell>
          <cell r="K11" t="str">
            <v>ПК-75</v>
          </cell>
          <cell r="L11" t="str">
            <v>Грязи</v>
          </cell>
          <cell r="M11" t="str">
            <v>Попов И.В.</v>
          </cell>
        </row>
        <row r="12">
          <cell r="B12">
            <v>5</v>
          </cell>
          <cell r="C12" t="str">
            <v>М</v>
          </cell>
          <cell r="D12" t="str">
            <v>Антипов</v>
          </cell>
          <cell r="E12" t="str">
            <v>Александр</v>
          </cell>
          <cell r="F12" t="str">
            <v>Максимович</v>
          </cell>
          <cell r="G12">
            <v>36331</v>
          </cell>
          <cell r="H12">
            <v>16</v>
          </cell>
          <cell r="I12">
            <v>3</v>
          </cell>
          <cell r="J12">
            <v>74</v>
          </cell>
          <cell r="K12" t="str">
            <v>ПК-75</v>
          </cell>
          <cell r="L12" t="str">
            <v>Грязи</v>
          </cell>
          <cell r="M12" t="str">
            <v>Попов И.В.</v>
          </cell>
        </row>
        <row r="13">
          <cell r="B13">
            <v>6</v>
          </cell>
          <cell r="C13" t="str">
            <v>М</v>
          </cell>
          <cell r="D13" t="str">
            <v>Сарычев</v>
          </cell>
          <cell r="E13" t="str">
            <v>Кирилл</v>
          </cell>
          <cell r="F13" t="str">
            <v>Евгеньевич</v>
          </cell>
          <cell r="G13">
            <v>36400</v>
          </cell>
          <cell r="H13">
            <v>16</v>
          </cell>
          <cell r="I13">
            <v>8</v>
          </cell>
          <cell r="J13">
            <v>75</v>
          </cell>
          <cell r="K13" t="str">
            <v>ПК-75</v>
          </cell>
          <cell r="L13" t="str">
            <v>Елец</v>
          </cell>
          <cell r="M13" t="str">
            <v>Сальков П.С.</v>
          </cell>
        </row>
        <row r="14">
          <cell r="B14">
            <v>7</v>
          </cell>
          <cell r="C14" t="str">
            <v>М</v>
          </cell>
          <cell r="D14" t="str">
            <v>Чемоданов</v>
          </cell>
          <cell r="E14" t="str">
            <v>Кирилл</v>
          </cell>
          <cell r="F14" t="str">
            <v>Андреевич</v>
          </cell>
          <cell r="G14">
            <v>36557</v>
          </cell>
          <cell r="H14">
            <v>16</v>
          </cell>
          <cell r="I14">
            <v>5</v>
          </cell>
          <cell r="J14">
            <v>74</v>
          </cell>
          <cell r="K14" t="str">
            <v>ПК-75</v>
          </cell>
          <cell r="L14" t="str">
            <v>Задонск</v>
          </cell>
          <cell r="M14" t="str">
            <v>Лобеев А.А.</v>
          </cell>
        </row>
        <row r="15">
          <cell r="B15">
            <v>8</v>
          </cell>
          <cell r="C15" t="str">
            <v>М</v>
          </cell>
          <cell r="D15" t="str">
            <v>Солопов</v>
          </cell>
          <cell r="E15" t="str">
            <v>Данил</v>
          </cell>
          <cell r="G15">
            <v>36576</v>
          </cell>
          <cell r="H15">
            <v>16</v>
          </cell>
          <cell r="I15">
            <v>8</v>
          </cell>
          <cell r="J15" t="str">
            <v>63.2</v>
          </cell>
          <cell r="K15" t="str">
            <v>ПК-75</v>
          </cell>
          <cell r="L15" t="str">
            <v>Тамбовская обл</v>
          </cell>
          <cell r="M15" t="str">
            <v>КормушкинЕ.Г.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Пузиков</v>
          </cell>
          <cell r="E8" t="str">
            <v>Александр.</v>
          </cell>
          <cell r="F8" t="str">
            <v>Алексеевич</v>
          </cell>
          <cell r="G8">
            <v>30803</v>
          </cell>
          <cell r="H8">
            <v>30</v>
          </cell>
          <cell r="I8">
            <v>10</v>
          </cell>
          <cell r="J8">
            <v>70</v>
          </cell>
          <cell r="K8" t="str">
            <v>ПК</v>
          </cell>
          <cell r="L8" t="str">
            <v>Липецк IKO</v>
          </cell>
          <cell r="M8" t="str">
            <v>Горбунов А.С.</v>
          </cell>
        </row>
        <row r="9">
          <cell r="B9">
            <v>2</v>
          </cell>
          <cell r="C9" t="str">
            <v>М</v>
          </cell>
          <cell r="D9" t="str">
            <v>Фатеев</v>
          </cell>
          <cell r="E9" t="str">
            <v>Константин</v>
          </cell>
          <cell r="F9" t="str">
            <v>Алексеевич</v>
          </cell>
          <cell r="G9">
            <v>35852</v>
          </cell>
          <cell r="H9">
            <v>18</v>
          </cell>
          <cell r="I9">
            <v>6</v>
          </cell>
          <cell r="J9">
            <v>76</v>
          </cell>
          <cell r="K9" t="str">
            <v>ПК</v>
          </cell>
          <cell r="L9" t="str">
            <v>Тамбовская обл</v>
          </cell>
          <cell r="M9" t="str">
            <v>Кузнецова Е.Н.</v>
          </cell>
        </row>
        <row r="10">
          <cell r="B10">
            <v>3</v>
          </cell>
          <cell r="C10" t="str">
            <v>М</v>
          </cell>
          <cell r="D10" t="str">
            <v>Телепин</v>
          </cell>
          <cell r="E10" t="str">
            <v>Александр</v>
          </cell>
          <cell r="F10" t="str">
            <v>Олегович</v>
          </cell>
          <cell r="G10">
            <v>34994</v>
          </cell>
          <cell r="H10">
            <v>20</v>
          </cell>
          <cell r="I10">
            <v>1</v>
          </cell>
          <cell r="J10">
            <v>69</v>
          </cell>
          <cell r="K10" t="str">
            <v>ПК</v>
          </cell>
          <cell r="L10" t="str">
            <v>Тамбовская обл</v>
          </cell>
          <cell r="M10" t="str">
            <v>Кузнецова Е.Н.</v>
          </cell>
        </row>
        <row r="11">
          <cell r="B11">
            <v>4</v>
          </cell>
          <cell r="C11" t="str">
            <v>М</v>
          </cell>
          <cell r="D11" t="str">
            <v>Меркулов</v>
          </cell>
          <cell r="E11" t="str">
            <v>Максим</v>
          </cell>
          <cell r="F11" t="str">
            <v>Юрьевич</v>
          </cell>
          <cell r="G11">
            <v>33735</v>
          </cell>
          <cell r="H11">
            <v>23</v>
          </cell>
          <cell r="I11">
            <v>1</v>
          </cell>
          <cell r="J11">
            <v>78</v>
          </cell>
          <cell r="K11" t="str">
            <v>ПК</v>
          </cell>
          <cell r="L11" t="str">
            <v>Елец</v>
          </cell>
          <cell r="M11" t="str">
            <v>Сальков П.С.</v>
          </cell>
        </row>
        <row r="12">
          <cell r="B12">
            <v>5</v>
          </cell>
        </row>
        <row r="13">
          <cell r="B13">
            <v>6</v>
          </cell>
          <cell r="C13" t="str">
            <v>М</v>
          </cell>
        </row>
        <row r="14">
          <cell r="B14">
            <v>7</v>
          </cell>
          <cell r="C14" t="str">
            <v>М</v>
          </cell>
        </row>
        <row r="15">
          <cell r="B15">
            <v>8</v>
          </cell>
          <cell r="C15" t="str">
            <v>М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Ж</v>
          </cell>
          <cell r="D8" t="str">
            <v>Коршунова</v>
          </cell>
          <cell r="E8" t="str">
            <v>Юлия</v>
          </cell>
          <cell r="F8" t="str">
            <v>Валентиновна</v>
          </cell>
          <cell r="G8">
            <v>39229</v>
          </cell>
          <cell r="H8">
            <v>8</v>
          </cell>
          <cell r="I8">
            <v>9</v>
          </cell>
          <cell r="J8">
            <v>22</v>
          </cell>
          <cell r="K8" t="str">
            <v>ПК-26</v>
          </cell>
          <cell r="L8" t="str">
            <v>Грязи</v>
          </cell>
          <cell r="M8" t="str">
            <v>Козлов А.Э.</v>
          </cell>
        </row>
        <row r="9">
          <cell r="B9">
            <v>2</v>
          </cell>
          <cell r="C9" t="str">
            <v>Ж</v>
          </cell>
          <cell r="D9" t="str">
            <v>Рычкова</v>
          </cell>
          <cell r="E9" t="str">
            <v>Ксения</v>
          </cell>
          <cell r="F9" t="str">
            <v>Сергеевна</v>
          </cell>
          <cell r="G9">
            <v>39321</v>
          </cell>
          <cell r="H9">
            <v>8</v>
          </cell>
          <cell r="I9">
            <v>9</v>
          </cell>
          <cell r="J9">
            <v>26</v>
          </cell>
          <cell r="K9" t="str">
            <v>ПК-26</v>
          </cell>
          <cell r="L9" t="str">
            <v>Грязи</v>
          </cell>
          <cell r="M9" t="str">
            <v>Козлов А.Э.</v>
          </cell>
        </row>
        <row r="10">
          <cell r="B10">
            <v>3</v>
          </cell>
          <cell r="C10" t="str">
            <v>Ж</v>
          </cell>
          <cell r="D10" t="str">
            <v>Булычева</v>
          </cell>
          <cell r="E10" t="str">
            <v>Варвара</v>
          </cell>
          <cell r="F10" t="str">
            <v>Данииловна</v>
          </cell>
          <cell r="G10">
            <v>39024</v>
          </cell>
          <cell r="H10">
            <v>9</v>
          </cell>
          <cell r="I10">
            <v>9</v>
          </cell>
          <cell r="J10">
            <v>26</v>
          </cell>
          <cell r="K10" t="str">
            <v>ПК-26</v>
          </cell>
          <cell r="L10" t="str">
            <v>Елец</v>
          </cell>
          <cell r="M10" t="str">
            <v>Фомин Ю.Ю.</v>
          </cell>
        </row>
        <row r="11">
          <cell r="B11">
            <v>4</v>
          </cell>
          <cell r="C11" t="str">
            <v>Ж</v>
          </cell>
          <cell r="D11" t="str">
            <v xml:space="preserve">Гулина </v>
          </cell>
          <cell r="E11" t="str">
            <v>Полина</v>
          </cell>
          <cell r="G11">
            <v>39400</v>
          </cell>
          <cell r="H11">
            <v>8</v>
          </cell>
          <cell r="I11">
            <v>10</v>
          </cell>
          <cell r="J11">
            <v>26</v>
          </cell>
          <cell r="K11" t="str">
            <v>ПК-26</v>
          </cell>
          <cell r="L11" t="str">
            <v>Елец</v>
          </cell>
          <cell r="M11" t="str">
            <v>Бейк Е.В.</v>
          </cell>
        </row>
        <row r="12">
          <cell r="B12">
            <v>5</v>
          </cell>
          <cell r="C12" t="str">
            <v>Ж</v>
          </cell>
          <cell r="D12" t="str">
            <v xml:space="preserve">Полякова </v>
          </cell>
          <cell r="E12" t="str">
            <v>Александра</v>
          </cell>
          <cell r="F12" t="str">
            <v>Маратовна</v>
          </cell>
          <cell r="G12">
            <v>39145</v>
          </cell>
          <cell r="H12">
            <v>9</v>
          </cell>
          <cell r="I12">
            <v>9</v>
          </cell>
          <cell r="J12">
            <v>26</v>
          </cell>
          <cell r="K12" t="str">
            <v>ПК-26</v>
          </cell>
          <cell r="L12" t="str">
            <v>Елец</v>
          </cell>
          <cell r="M12" t="str">
            <v>Акопян А.В.</v>
          </cell>
        </row>
        <row r="13">
          <cell r="B13">
            <v>6</v>
          </cell>
          <cell r="C13" t="str">
            <v>Ж</v>
          </cell>
          <cell r="D13" t="str">
            <v>Летуновская</v>
          </cell>
          <cell r="E13" t="str">
            <v>Виктория</v>
          </cell>
          <cell r="F13" t="str">
            <v>Сергеевна</v>
          </cell>
          <cell r="G13">
            <v>39112</v>
          </cell>
          <cell r="H13">
            <v>9</v>
          </cell>
          <cell r="I13">
            <v>10</v>
          </cell>
          <cell r="J13">
            <v>26</v>
          </cell>
          <cell r="K13" t="str">
            <v>ПК-26</v>
          </cell>
          <cell r="L13" t="str">
            <v>Тамбовская обл</v>
          </cell>
          <cell r="M13" t="str">
            <v>Антакова Е.В.</v>
          </cell>
        </row>
        <row r="14">
          <cell r="B14">
            <v>7</v>
          </cell>
          <cell r="C14" t="str">
            <v>Ж</v>
          </cell>
        </row>
        <row r="15">
          <cell r="B15">
            <v>8</v>
          </cell>
          <cell r="C15" t="str">
            <v>Ж</v>
          </cell>
        </row>
        <row r="16">
          <cell r="B16">
            <v>9</v>
          </cell>
          <cell r="C16" t="str">
            <v>Ж</v>
          </cell>
        </row>
        <row r="17">
          <cell r="B17">
            <v>10</v>
          </cell>
          <cell r="C17" t="str">
            <v>Ж</v>
          </cell>
        </row>
        <row r="18">
          <cell r="B18">
            <v>11</v>
          </cell>
          <cell r="C18" t="str">
            <v>Ж</v>
          </cell>
        </row>
        <row r="19">
          <cell r="B19">
            <v>12</v>
          </cell>
          <cell r="C19" t="str">
            <v>Ж</v>
          </cell>
        </row>
        <row r="20">
          <cell r="B20">
            <v>13</v>
          </cell>
          <cell r="C20" t="str">
            <v>Ж</v>
          </cell>
        </row>
        <row r="21">
          <cell r="B21">
            <v>14</v>
          </cell>
          <cell r="C21" t="str">
            <v>Ж</v>
          </cell>
        </row>
        <row r="22">
          <cell r="B22">
            <v>15</v>
          </cell>
          <cell r="C22" t="str">
            <v>Ж</v>
          </cell>
        </row>
        <row r="23">
          <cell r="B23">
            <v>16</v>
          </cell>
          <cell r="C23" t="str">
            <v>Ж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Ж</v>
          </cell>
          <cell r="D8" t="str">
            <v>Елисеева</v>
          </cell>
          <cell r="E8" t="str">
            <v>Диана</v>
          </cell>
          <cell r="F8" t="str">
            <v>Дмитриевна</v>
          </cell>
          <cell r="G8">
            <v>38833</v>
          </cell>
          <cell r="H8">
            <v>9</v>
          </cell>
          <cell r="I8">
            <v>10</v>
          </cell>
          <cell r="J8">
            <v>33</v>
          </cell>
          <cell r="K8" t="str">
            <v>ПК-33</v>
          </cell>
          <cell r="L8" t="str">
            <v>Грязи</v>
          </cell>
          <cell r="M8" t="str">
            <v>Моисеев И.Н.</v>
          </cell>
        </row>
        <row r="9">
          <cell r="B9">
            <v>2</v>
          </cell>
          <cell r="C9" t="str">
            <v>Ж</v>
          </cell>
          <cell r="D9" t="str">
            <v>Белоглазова</v>
          </cell>
          <cell r="E9" t="str">
            <v>Ульяна</v>
          </cell>
          <cell r="F9" t="str">
            <v>Артёмовна</v>
          </cell>
          <cell r="G9">
            <v>39276</v>
          </cell>
          <cell r="H9">
            <v>8</v>
          </cell>
          <cell r="I9">
            <v>8</v>
          </cell>
          <cell r="J9">
            <v>28</v>
          </cell>
          <cell r="K9" t="str">
            <v>ПК-33</v>
          </cell>
          <cell r="L9" t="str">
            <v>Елец</v>
          </cell>
          <cell r="M9" t="str">
            <v>Фомин Ю.Ю.</v>
          </cell>
        </row>
        <row r="10">
          <cell r="B10">
            <v>3</v>
          </cell>
          <cell r="C10" t="str">
            <v>Ж</v>
          </cell>
          <cell r="D10" t="str">
            <v xml:space="preserve">Шинкоренко </v>
          </cell>
          <cell r="E10" t="str">
            <v>Ульяна</v>
          </cell>
          <cell r="G10">
            <v>39301</v>
          </cell>
          <cell r="H10">
            <v>8</v>
          </cell>
          <cell r="I10">
            <v>10</v>
          </cell>
          <cell r="J10">
            <v>31</v>
          </cell>
          <cell r="K10" t="str">
            <v>ПК-33</v>
          </cell>
          <cell r="L10" t="str">
            <v>Елец</v>
          </cell>
          <cell r="M10" t="str">
            <v>Бейк Е.В.</v>
          </cell>
        </row>
        <row r="11">
          <cell r="B11">
            <v>4</v>
          </cell>
          <cell r="C11" t="str">
            <v>Ж</v>
          </cell>
          <cell r="D11" t="str">
            <v xml:space="preserve">Гнездилова </v>
          </cell>
          <cell r="E11" t="str">
            <v>Виктория</v>
          </cell>
          <cell r="F11" t="str">
            <v>Игоревна</v>
          </cell>
          <cell r="G11">
            <v>38858</v>
          </cell>
          <cell r="H11">
            <v>9</v>
          </cell>
          <cell r="I11">
            <v>8</v>
          </cell>
          <cell r="J11">
            <v>31</v>
          </cell>
          <cell r="K11" t="str">
            <v>ПК-33</v>
          </cell>
          <cell r="L11" t="str">
            <v>Елец</v>
          </cell>
          <cell r="M11" t="str">
            <v>Акопян А.В.</v>
          </cell>
        </row>
        <row r="12">
          <cell r="B12">
            <v>5</v>
          </cell>
          <cell r="C12" t="str">
            <v>Ж</v>
          </cell>
          <cell r="D12" t="str">
            <v xml:space="preserve">Родина </v>
          </cell>
          <cell r="E12" t="str">
            <v>Валерия</v>
          </cell>
          <cell r="F12" t="str">
            <v>Алексеевна</v>
          </cell>
          <cell r="G12">
            <v>38842</v>
          </cell>
          <cell r="H12">
            <v>9</v>
          </cell>
          <cell r="I12">
            <v>8</v>
          </cell>
          <cell r="J12">
            <v>31</v>
          </cell>
          <cell r="K12" t="str">
            <v>ПК-33</v>
          </cell>
          <cell r="L12" t="str">
            <v>Елец</v>
          </cell>
          <cell r="M12" t="str">
            <v>Акопян А.В.</v>
          </cell>
        </row>
        <row r="13">
          <cell r="B13">
            <v>6</v>
          </cell>
          <cell r="C13" t="str">
            <v>Ж</v>
          </cell>
          <cell r="D13" t="str">
            <v>Ананьева</v>
          </cell>
          <cell r="E13" t="str">
            <v>Ульяна</v>
          </cell>
          <cell r="F13" t="str">
            <v>Алексеевна</v>
          </cell>
          <cell r="G13">
            <v>39150</v>
          </cell>
          <cell r="H13">
            <v>8</v>
          </cell>
          <cell r="I13">
            <v>8</v>
          </cell>
          <cell r="J13">
            <v>32</v>
          </cell>
          <cell r="K13" t="str">
            <v>ПК-33</v>
          </cell>
          <cell r="L13" t="str">
            <v>Елец</v>
          </cell>
          <cell r="M13" t="str">
            <v>Фомин Ю.Ю.</v>
          </cell>
        </row>
        <row r="14">
          <cell r="B14">
            <v>7</v>
          </cell>
          <cell r="C14" t="str">
            <v>Ж</v>
          </cell>
          <cell r="D14" t="str">
            <v xml:space="preserve">Соколенко </v>
          </cell>
          <cell r="E14" t="str">
            <v>Кристина</v>
          </cell>
          <cell r="F14" t="str">
            <v>Сергеевна</v>
          </cell>
          <cell r="G14">
            <v>39973</v>
          </cell>
          <cell r="H14">
            <v>8</v>
          </cell>
          <cell r="I14">
            <v>10</v>
          </cell>
          <cell r="J14">
            <v>28</v>
          </cell>
          <cell r="K14" t="str">
            <v>ПК-33</v>
          </cell>
          <cell r="L14" t="str">
            <v>Липецк IKO</v>
          </cell>
          <cell r="M14" t="str">
            <v>Бедоян В.Г</v>
          </cell>
        </row>
        <row r="15">
          <cell r="B15">
            <v>8</v>
          </cell>
          <cell r="C15" t="str">
            <v>Ж</v>
          </cell>
          <cell r="D15" t="str">
            <v>Токарева</v>
          </cell>
          <cell r="E15" t="str">
            <v>Дарья</v>
          </cell>
          <cell r="F15" t="str">
            <v>Рустамовна</v>
          </cell>
          <cell r="G15">
            <v>39497</v>
          </cell>
          <cell r="H15">
            <v>8</v>
          </cell>
          <cell r="I15">
            <v>9</v>
          </cell>
          <cell r="J15">
            <v>28</v>
          </cell>
          <cell r="K15" t="str">
            <v>ПК-33</v>
          </cell>
          <cell r="L15" t="str">
            <v>Липецк KAN</v>
          </cell>
          <cell r="M15" t="str">
            <v>Шахов Е.В.</v>
          </cell>
        </row>
        <row r="16">
          <cell r="B16">
            <v>9</v>
          </cell>
          <cell r="C16" t="str">
            <v>Ж</v>
          </cell>
          <cell r="D16" t="str">
            <v>Харитонова</v>
          </cell>
          <cell r="E16" t="str">
            <v>Вероника</v>
          </cell>
          <cell r="F16" t="str">
            <v>Александровна</v>
          </cell>
          <cell r="G16">
            <v>38994</v>
          </cell>
          <cell r="H16">
            <v>9</v>
          </cell>
          <cell r="I16">
            <v>7</v>
          </cell>
          <cell r="J16">
            <v>33</v>
          </cell>
          <cell r="K16" t="str">
            <v>ПК-33</v>
          </cell>
          <cell r="L16" t="str">
            <v>Москва</v>
          </cell>
          <cell r="M16" t="str">
            <v>Топоркова О.В.</v>
          </cell>
        </row>
        <row r="17">
          <cell r="B17">
            <v>10</v>
          </cell>
          <cell r="C17" t="str">
            <v>Ж</v>
          </cell>
        </row>
        <row r="18">
          <cell r="B18">
            <v>11</v>
          </cell>
          <cell r="C18" t="str">
            <v>Ж</v>
          </cell>
        </row>
        <row r="19">
          <cell r="B19">
            <v>12</v>
          </cell>
          <cell r="C19" t="str">
            <v>Ж</v>
          </cell>
        </row>
        <row r="20">
          <cell r="B20">
            <v>13</v>
          </cell>
          <cell r="C20" t="str">
            <v>Ж</v>
          </cell>
        </row>
        <row r="21">
          <cell r="B21">
            <v>14</v>
          </cell>
          <cell r="C21" t="str">
            <v>Ж</v>
          </cell>
        </row>
        <row r="22">
          <cell r="B22">
            <v>15</v>
          </cell>
          <cell r="C22" t="str">
            <v>Ж</v>
          </cell>
        </row>
        <row r="23">
          <cell r="B23">
            <v>16</v>
          </cell>
          <cell r="C23" t="str">
            <v>Ж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Ж</v>
          </cell>
          <cell r="D8" t="str">
            <v>Беленьких</v>
          </cell>
          <cell r="E8" t="str">
            <v>Любовь</v>
          </cell>
          <cell r="F8" t="str">
            <v>Александрович</v>
          </cell>
          <cell r="G8">
            <v>39215</v>
          </cell>
          <cell r="H8">
            <v>8</v>
          </cell>
          <cell r="I8">
            <v>8</v>
          </cell>
          <cell r="J8">
            <v>36</v>
          </cell>
          <cell r="K8" t="str">
            <v>ПК 35+</v>
          </cell>
          <cell r="L8" t="str">
            <v>Тамбовская обл</v>
          </cell>
          <cell r="M8" t="str">
            <v>Антакова Е.В.</v>
          </cell>
        </row>
        <row r="9">
          <cell r="B9">
            <v>2</v>
          </cell>
          <cell r="C9" t="str">
            <v>Ж</v>
          </cell>
          <cell r="D9" t="str">
            <v>Попова</v>
          </cell>
          <cell r="E9" t="str">
            <v>Ангела</v>
          </cell>
          <cell r="F9" t="str">
            <v>Геннадьевна</v>
          </cell>
          <cell r="G9">
            <v>38842</v>
          </cell>
          <cell r="H9">
            <v>9</v>
          </cell>
          <cell r="I9">
            <v>9</v>
          </cell>
          <cell r="J9">
            <v>43</v>
          </cell>
          <cell r="K9" t="str">
            <v>ПК 35+</v>
          </cell>
          <cell r="L9" t="str">
            <v>Тамбовская обл</v>
          </cell>
          <cell r="M9" t="str">
            <v>Айриян А.И.</v>
          </cell>
        </row>
        <row r="10">
          <cell r="B10">
            <v>3</v>
          </cell>
          <cell r="C10" t="str">
            <v>Ж</v>
          </cell>
          <cell r="D10" t="str">
            <v xml:space="preserve">Гаврилова </v>
          </cell>
          <cell r="E10" t="str">
            <v>Таисия</v>
          </cell>
          <cell r="F10" t="str">
            <v>Антоновна</v>
          </cell>
          <cell r="G10">
            <v>39262</v>
          </cell>
          <cell r="H10">
            <v>8</v>
          </cell>
          <cell r="I10">
            <v>9</v>
          </cell>
          <cell r="J10">
            <v>46</v>
          </cell>
          <cell r="K10" t="str">
            <v>ПК 35+</v>
          </cell>
          <cell r="L10" t="str">
            <v>Тамбовская обл</v>
          </cell>
          <cell r="M10" t="str">
            <v>Айриян А.И.</v>
          </cell>
        </row>
        <row r="11">
          <cell r="B11">
            <v>4</v>
          </cell>
          <cell r="C11" t="str">
            <v>Ж</v>
          </cell>
          <cell r="D11" t="str">
            <v xml:space="preserve">Лузанова </v>
          </cell>
          <cell r="E11" t="str">
            <v xml:space="preserve">Вероника </v>
          </cell>
          <cell r="F11" t="str">
            <v xml:space="preserve">Владимировна </v>
          </cell>
          <cell r="G11" t="str">
            <v>02.09.2007.</v>
          </cell>
          <cell r="H11">
            <v>8</v>
          </cell>
          <cell r="J11">
            <v>40</v>
          </cell>
          <cell r="K11" t="str">
            <v>ПК 35+</v>
          </cell>
          <cell r="L11" t="str">
            <v>Россошь Сакура</v>
          </cell>
          <cell r="M11" t="str">
            <v>Басова А.В.</v>
          </cell>
        </row>
        <row r="12">
          <cell r="B12">
            <v>5</v>
          </cell>
          <cell r="C12" t="str">
            <v>Ж</v>
          </cell>
          <cell r="D12" t="str">
            <v>Голдобина</v>
          </cell>
          <cell r="E12" t="str">
            <v>Олеся</v>
          </cell>
          <cell r="H12">
            <v>9</v>
          </cell>
          <cell r="I12">
            <v>9</v>
          </cell>
          <cell r="J12">
            <v>39</v>
          </cell>
          <cell r="K12" t="str">
            <v>ПК 35+</v>
          </cell>
          <cell r="L12" t="str">
            <v>Воронеж</v>
          </cell>
          <cell r="M12" t="str">
            <v>Калугин В.А.</v>
          </cell>
        </row>
        <row r="13">
          <cell r="B13">
            <v>6</v>
          </cell>
          <cell r="C13" t="str">
            <v>Ж</v>
          </cell>
        </row>
        <row r="14">
          <cell r="B14">
            <v>7</v>
          </cell>
          <cell r="C14" t="str">
            <v>Ж</v>
          </cell>
        </row>
        <row r="15">
          <cell r="B15">
            <v>8</v>
          </cell>
          <cell r="C15" t="str">
            <v>Ж</v>
          </cell>
        </row>
        <row r="16">
          <cell r="B16">
            <v>9</v>
          </cell>
          <cell r="C16" t="str">
            <v>Ж</v>
          </cell>
        </row>
        <row r="17">
          <cell r="B17">
            <v>10</v>
          </cell>
          <cell r="C17" t="str">
            <v>Ж</v>
          </cell>
        </row>
        <row r="18">
          <cell r="B18">
            <v>11</v>
          </cell>
          <cell r="C18" t="str">
            <v>Ж</v>
          </cell>
        </row>
        <row r="19">
          <cell r="B19">
            <v>12</v>
          </cell>
          <cell r="C19" t="str">
            <v>Ж</v>
          </cell>
        </row>
        <row r="20">
          <cell r="B20">
            <v>13</v>
          </cell>
          <cell r="C20" t="str">
            <v>Ж</v>
          </cell>
        </row>
        <row r="21">
          <cell r="B21">
            <v>14</v>
          </cell>
          <cell r="C21" t="str">
            <v>Ж</v>
          </cell>
        </row>
        <row r="22">
          <cell r="B22">
            <v>15</v>
          </cell>
          <cell r="C22" t="str">
            <v>Ж</v>
          </cell>
        </row>
        <row r="23">
          <cell r="B23">
            <v>16</v>
          </cell>
          <cell r="C23" t="str">
            <v>Ж</v>
          </cell>
        </row>
        <row r="24">
          <cell r="B24">
            <v>17</v>
          </cell>
          <cell r="C24" t="str">
            <v>Ж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Ж</v>
          </cell>
          <cell r="D8" t="str">
            <v>Полкукарова </v>
          </cell>
          <cell r="E8" t="str">
            <v>Анна </v>
          </cell>
          <cell r="F8" t="str">
            <v>Романовна </v>
          </cell>
          <cell r="G8" t="str">
            <v>09.01.2006 </v>
          </cell>
          <cell r="H8" t="str">
            <v>10 </v>
          </cell>
          <cell r="I8" t="str">
            <v>10 </v>
          </cell>
          <cell r="J8">
            <v>29</v>
          </cell>
          <cell r="K8" t="str">
            <v>ПК 40</v>
          </cell>
          <cell r="L8" t="str">
            <v>Липецк Годзю-рю</v>
          </cell>
          <cell r="M8" t="str">
            <v>Николаев Э.Б. </v>
          </cell>
        </row>
        <row r="9">
          <cell r="B9">
            <v>2</v>
          </cell>
          <cell r="C9" t="str">
            <v>Ж</v>
          </cell>
          <cell r="D9" t="str">
            <v>Коршунова</v>
          </cell>
          <cell r="E9" t="str">
            <v>Ирина</v>
          </cell>
          <cell r="F9" t="str">
            <v>Валентиновна</v>
          </cell>
          <cell r="G9">
            <v>38249</v>
          </cell>
          <cell r="H9">
            <v>11</v>
          </cell>
          <cell r="I9">
            <v>8</v>
          </cell>
          <cell r="J9">
            <v>31</v>
          </cell>
          <cell r="K9" t="str">
            <v>ПК 40</v>
          </cell>
          <cell r="L9" t="str">
            <v>Грязи</v>
          </cell>
          <cell r="M9" t="str">
            <v>Козлов А.Э.</v>
          </cell>
        </row>
        <row r="10">
          <cell r="B10">
            <v>3</v>
          </cell>
          <cell r="C10" t="str">
            <v>Ж</v>
          </cell>
          <cell r="D10" t="str">
            <v>Истомина</v>
          </cell>
          <cell r="E10" t="str">
            <v>Валерия</v>
          </cell>
          <cell r="F10" t="str">
            <v>Сергеевна</v>
          </cell>
          <cell r="G10">
            <v>38685</v>
          </cell>
          <cell r="H10">
            <v>10</v>
          </cell>
          <cell r="I10">
            <v>10</v>
          </cell>
          <cell r="J10">
            <v>32</v>
          </cell>
          <cell r="K10" t="str">
            <v>ПК 40</v>
          </cell>
          <cell r="L10" t="str">
            <v>Грязи</v>
          </cell>
          <cell r="M10" t="str">
            <v>Козлов А.Э.</v>
          </cell>
        </row>
        <row r="11">
          <cell r="B11">
            <v>4</v>
          </cell>
          <cell r="C11" t="str">
            <v>Ж</v>
          </cell>
          <cell r="D11" t="str">
            <v>Барханова</v>
          </cell>
          <cell r="E11" t="str">
            <v>Наталья</v>
          </cell>
          <cell r="F11" t="str">
            <v>Евгеньевна</v>
          </cell>
          <cell r="G11">
            <v>38484</v>
          </cell>
          <cell r="H11">
            <v>10</v>
          </cell>
          <cell r="I11">
            <v>9</v>
          </cell>
          <cell r="J11">
            <v>34</v>
          </cell>
          <cell r="K11" t="str">
            <v>ПК 40</v>
          </cell>
          <cell r="L11" t="str">
            <v>Москва</v>
          </cell>
          <cell r="M11" t="str">
            <v>Конышев С.В.</v>
          </cell>
        </row>
        <row r="12">
          <cell r="B12">
            <v>5</v>
          </cell>
          <cell r="C12" t="str">
            <v>Ж</v>
          </cell>
        </row>
        <row r="13">
          <cell r="B13">
            <v>6</v>
          </cell>
          <cell r="C13" t="str">
            <v>Ж</v>
          </cell>
        </row>
        <row r="14">
          <cell r="B14">
            <v>7</v>
          </cell>
          <cell r="C14" t="str">
            <v>Ж</v>
          </cell>
        </row>
        <row r="15">
          <cell r="B15">
            <v>8</v>
          </cell>
          <cell r="C15" t="str">
            <v>Ж</v>
          </cell>
        </row>
        <row r="16">
          <cell r="B16">
            <v>9</v>
          </cell>
          <cell r="C16" t="str">
            <v>Ж</v>
          </cell>
        </row>
        <row r="17">
          <cell r="B17">
            <v>10</v>
          </cell>
          <cell r="C17" t="str">
            <v>Ж</v>
          </cell>
        </row>
        <row r="18">
          <cell r="B18">
            <v>11</v>
          </cell>
          <cell r="C18" t="str">
            <v>Ж</v>
          </cell>
        </row>
        <row r="19">
          <cell r="B19">
            <v>12</v>
          </cell>
          <cell r="C19" t="str">
            <v>Ж</v>
          </cell>
        </row>
        <row r="20">
          <cell r="B20">
            <v>13</v>
          </cell>
          <cell r="C20" t="str">
            <v>Ж</v>
          </cell>
        </row>
        <row r="21">
          <cell r="B21">
            <v>14</v>
          </cell>
          <cell r="C21" t="str">
            <v>Ж</v>
          </cell>
        </row>
        <row r="22">
          <cell r="B22">
            <v>15</v>
          </cell>
          <cell r="C22" t="str">
            <v>Ж</v>
          </cell>
        </row>
        <row r="23">
          <cell r="B23">
            <v>16</v>
          </cell>
          <cell r="C23" t="str">
            <v>Ж</v>
          </cell>
        </row>
        <row r="24">
          <cell r="B24">
            <v>17</v>
          </cell>
          <cell r="C24" t="str">
            <v>Ж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Ж</v>
          </cell>
          <cell r="D8" t="str">
            <v>Анохова</v>
          </cell>
          <cell r="E8" t="str">
            <v>Виктория</v>
          </cell>
          <cell r="F8" t="str">
            <v>Владиславовна</v>
          </cell>
          <cell r="G8">
            <v>38485</v>
          </cell>
          <cell r="H8">
            <v>10</v>
          </cell>
          <cell r="I8">
            <v>8</v>
          </cell>
          <cell r="J8">
            <v>47</v>
          </cell>
          <cell r="K8" t="str">
            <v>ПК 40+</v>
          </cell>
          <cell r="L8" t="str">
            <v>Елец</v>
          </cell>
          <cell r="M8" t="str">
            <v>Фомин Ю.Ю.</v>
          </cell>
        </row>
        <row r="9">
          <cell r="B9">
            <v>2</v>
          </cell>
          <cell r="C9" t="str">
            <v>Ж</v>
          </cell>
          <cell r="D9" t="str">
            <v xml:space="preserve">Маторина </v>
          </cell>
          <cell r="E9" t="str">
            <v>Анастасия</v>
          </cell>
          <cell r="F9" t="str">
            <v>Евгеньевна</v>
          </cell>
          <cell r="G9">
            <v>38182</v>
          </cell>
          <cell r="H9">
            <v>11</v>
          </cell>
          <cell r="I9">
            <v>6</v>
          </cell>
          <cell r="J9">
            <v>43</v>
          </cell>
          <cell r="K9" t="str">
            <v>ПК 40+</v>
          </cell>
          <cell r="L9" t="str">
            <v>Тамбовская обл</v>
          </cell>
          <cell r="M9" t="str">
            <v>Айриян А.И.</v>
          </cell>
        </row>
        <row r="10">
          <cell r="B10">
            <v>3</v>
          </cell>
          <cell r="C10" t="str">
            <v>Ж</v>
          </cell>
          <cell r="D10" t="str">
            <v>Анохова</v>
          </cell>
          <cell r="E10" t="str">
            <v>Виктория</v>
          </cell>
          <cell r="F10" t="str">
            <v>Владиславовна</v>
          </cell>
          <cell r="G10">
            <v>38485</v>
          </cell>
          <cell r="H10">
            <v>10</v>
          </cell>
          <cell r="I10">
            <v>8</v>
          </cell>
          <cell r="J10">
            <v>47</v>
          </cell>
          <cell r="K10" t="str">
            <v>ПК 40+</v>
          </cell>
          <cell r="L10" t="str">
            <v>Елец</v>
          </cell>
          <cell r="M10" t="str">
            <v>Фомин Ю.Ю.</v>
          </cell>
        </row>
        <row r="11">
          <cell r="B11">
            <v>4</v>
          </cell>
          <cell r="C11" t="str">
            <v>Ж</v>
          </cell>
        </row>
        <row r="12">
          <cell r="B12">
            <v>5</v>
          </cell>
          <cell r="C12" t="str">
            <v>Ж</v>
          </cell>
          <cell r="D12" t="str">
            <v xml:space="preserve">Маторина </v>
          </cell>
          <cell r="E12" t="str">
            <v>Анастасия</v>
          </cell>
          <cell r="F12" t="str">
            <v>Евгеньевна</v>
          </cell>
          <cell r="G12">
            <v>38182</v>
          </cell>
          <cell r="H12">
            <v>11</v>
          </cell>
          <cell r="I12">
            <v>6</v>
          </cell>
          <cell r="J12">
            <v>43</v>
          </cell>
          <cell r="K12" t="str">
            <v>ПК 40+</v>
          </cell>
          <cell r="L12" t="str">
            <v>Тамбовская обл</v>
          </cell>
          <cell r="M12" t="str">
            <v>Айриян А.И.</v>
          </cell>
        </row>
        <row r="13">
          <cell r="B13">
            <v>6</v>
          </cell>
          <cell r="C13" t="str">
            <v>Ж</v>
          </cell>
          <cell r="D13" t="str">
            <v>Демьянова</v>
          </cell>
          <cell r="E13" t="str">
            <v>Дарья</v>
          </cell>
          <cell r="F13" t="str">
            <v>Юрьевна</v>
          </cell>
          <cell r="G13">
            <v>38411</v>
          </cell>
          <cell r="H13">
            <v>11</v>
          </cell>
          <cell r="I13">
            <v>6</v>
          </cell>
          <cell r="J13">
            <v>54</v>
          </cell>
          <cell r="K13" t="str">
            <v>ПК 40+</v>
          </cell>
          <cell r="L13" t="str">
            <v>Грязи</v>
          </cell>
          <cell r="M13" t="str">
            <v>Попов И.В.</v>
          </cell>
        </row>
        <row r="14">
          <cell r="B14">
            <v>7</v>
          </cell>
          <cell r="C14" t="str">
            <v>Ж</v>
          </cell>
          <cell r="D14" t="str">
            <v>Демьянова</v>
          </cell>
          <cell r="E14" t="str">
            <v>Дарья</v>
          </cell>
          <cell r="F14" t="str">
            <v>Юрьевна</v>
          </cell>
          <cell r="G14">
            <v>38411</v>
          </cell>
          <cell r="H14">
            <v>11</v>
          </cell>
          <cell r="I14">
            <v>6</v>
          </cell>
          <cell r="J14">
            <v>54</v>
          </cell>
          <cell r="K14" t="str">
            <v>ПК 40+</v>
          </cell>
          <cell r="L14" t="str">
            <v>Грязи</v>
          </cell>
          <cell r="M14" t="str">
            <v>Попов И.В.</v>
          </cell>
        </row>
        <row r="15">
          <cell r="B15">
            <v>8</v>
          </cell>
          <cell r="C15" t="str">
            <v>Ж</v>
          </cell>
          <cell r="D15" t="str">
            <v>Анохова</v>
          </cell>
          <cell r="E15" t="str">
            <v>Виктория</v>
          </cell>
          <cell r="F15" t="str">
            <v>Владиславовна</v>
          </cell>
          <cell r="G15">
            <v>38485</v>
          </cell>
          <cell r="H15">
            <v>10</v>
          </cell>
          <cell r="I15">
            <v>8</v>
          </cell>
          <cell r="J15">
            <v>47</v>
          </cell>
          <cell r="K15" t="str">
            <v>ПК 40+</v>
          </cell>
          <cell r="L15" t="str">
            <v>Елец</v>
          </cell>
          <cell r="M15" t="str">
            <v>Фомин Ю.Ю.</v>
          </cell>
        </row>
        <row r="16">
          <cell r="B16">
            <v>9</v>
          </cell>
          <cell r="C16" t="str">
            <v>Ж</v>
          </cell>
        </row>
        <row r="17">
          <cell r="B17">
            <v>10</v>
          </cell>
          <cell r="C17" t="str">
            <v>Ж</v>
          </cell>
        </row>
        <row r="18">
          <cell r="B18">
            <v>11</v>
          </cell>
          <cell r="C18" t="str">
            <v>Ж</v>
          </cell>
        </row>
        <row r="19">
          <cell r="B19">
            <v>12</v>
          </cell>
          <cell r="C19" t="str">
            <v>Ж</v>
          </cell>
        </row>
        <row r="20">
          <cell r="B20">
            <v>13</v>
          </cell>
          <cell r="C20" t="str">
            <v>Ж</v>
          </cell>
        </row>
        <row r="21">
          <cell r="B21">
            <v>14</v>
          </cell>
          <cell r="C21" t="str">
            <v>Ж</v>
          </cell>
        </row>
        <row r="22">
          <cell r="B22">
            <v>15</v>
          </cell>
          <cell r="C22" t="str">
            <v>Ж</v>
          </cell>
        </row>
        <row r="23">
          <cell r="B23">
            <v>16</v>
          </cell>
          <cell r="C23" t="str">
            <v>Ж</v>
          </cell>
        </row>
        <row r="24">
          <cell r="B24">
            <v>17</v>
          </cell>
          <cell r="C24" t="str">
            <v>Ж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Ж</v>
          </cell>
          <cell r="D8" t="str">
            <v>Загуменнова</v>
          </cell>
          <cell r="E8" t="str">
            <v>Алина</v>
          </cell>
          <cell r="F8" t="str">
            <v>Георгиевна</v>
          </cell>
          <cell r="G8">
            <v>37931</v>
          </cell>
          <cell r="H8">
            <v>12</v>
          </cell>
          <cell r="I8">
            <v>8</v>
          </cell>
          <cell r="J8">
            <v>32</v>
          </cell>
          <cell r="K8" t="str">
            <v>ПК 45</v>
          </cell>
          <cell r="L8" t="str">
            <v>Тамбовская обл</v>
          </cell>
          <cell r="M8" t="str">
            <v>Айриян А.И.</v>
          </cell>
        </row>
        <row r="9">
          <cell r="B9">
            <v>2</v>
          </cell>
          <cell r="C9" t="str">
            <v>Ж</v>
          </cell>
          <cell r="D9" t="str">
            <v xml:space="preserve">Третьякова </v>
          </cell>
          <cell r="E9" t="str">
            <v>Валерия</v>
          </cell>
          <cell r="F9" t="str">
            <v>Алексеевна</v>
          </cell>
          <cell r="G9" t="str">
            <v>28.112003</v>
          </cell>
          <cell r="H9">
            <v>12</v>
          </cell>
          <cell r="I9">
            <v>8</v>
          </cell>
          <cell r="J9">
            <v>30</v>
          </cell>
          <cell r="K9" t="str">
            <v>ПК 45</v>
          </cell>
          <cell r="L9" t="str">
            <v>Тамбовская обл</v>
          </cell>
          <cell r="M9" t="str">
            <v>Айриян А.И.</v>
          </cell>
        </row>
        <row r="10">
          <cell r="B10">
            <v>3</v>
          </cell>
          <cell r="C10" t="str">
            <v>Ж</v>
          </cell>
          <cell r="D10" t="str">
            <v xml:space="preserve">Ландышева </v>
          </cell>
          <cell r="E10" t="str">
            <v>Екатерина</v>
          </cell>
          <cell r="F10" t="str">
            <v>Сергеевна</v>
          </cell>
          <cell r="G10">
            <v>37693</v>
          </cell>
          <cell r="H10">
            <v>13</v>
          </cell>
          <cell r="I10">
            <v>6</v>
          </cell>
          <cell r="J10">
            <v>44</v>
          </cell>
          <cell r="K10" t="str">
            <v>ПК 45</v>
          </cell>
          <cell r="L10" t="str">
            <v>Тамбовская обл</v>
          </cell>
          <cell r="M10" t="str">
            <v>Айриян А.И.</v>
          </cell>
        </row>
        <row r="11">
          <cell r="B11">
            <v>4</v>
          </cell>
          <cell r="C11" t="str">
            <v>Ж</v>
          </cell>
          <cell r="D11" t="str">
            <v>Горячева</v>
          </cell>
          <cell r="E11" t="str">
            <v>Виктория</v>
          </cell>
          <cell r="F11" t="str">
            <v>Сергеевна</v>
          </cell>
          <cell r="G11">
            <v>37805</v>
          </cell>
          <cell r="H11">
            <v>12</v>
          </cell>
          <cell r="I11">
            <v>9</v>
          </cell>
          <cell r="J11">
            <v>43</v>
          </cell>
          <cell r="K11" t="str">
            <v>ПК 45</v>
          </cell>
          <cell r="L11" t="str">
            <v>Елец</v>
          </cell>
          <cell r="M11" t="str">
            <v>Акопян А.В.</v>
          </cell>
        </row>
        <row r="12">
          <cell r="B12">
            <v>5</v>
          </cell>
          <cell r="C12" t="str">
            <v>Ж</v>
          </cell>
          <cell r="D12" t="str">
            <v>Попова</v>
          </cell>
          <cell r="E12" t="str">
            <v>Татьяна</v>
          </cell>
          <cell r="F12" t="str">
            <v>Олеговна</v>
          </cell>
          <cell r="G12">
            <v>37720</v>
          </cell>
          <cell r="H12">
            <v>12</v>
          </cell>
          <cell r="I12">
            <v>6</v>
          </cell>
          <cell r="J12">
            <v>45</v>
          </cell>
          <cell r="K12" t="str">
            <v>ПК 60</v>
          </cell>
          <cell r="L12" t="str">
            <v>Елец</v>
          </cell>
          <cell r="M12" t="str">
            <v>Акопян А.В.</v>
          </cell>
        </row>
        <row r="13">
          <cell r="B13">
            <v>6</v>
          </cell>
          <cell r="C13" t="str">
            <v>Ж</v>
          </cell>
          <cell r="D13" t="str">
            <v>Лукина</v>
          </cell>
          <cell r="E13" t="str">
            <v>Вероника</v>
          </cell>
          <cell r="F13" t="str">
            <v>Александровна</v>
          </cell>
          <cell r="G13">
            <v>37821</v>
          </cell>
          <cell r="H13">
            <v>12</v>
          </cell>
          <cell r="I13">
            <v>6</v>
          </cell>
          <cell r="J13">
            <v>40</v>
          </cell>
          <cell r="K13" t="str">
            <v>ПК 45</v>
          </cell>
          <cell r="L13" t="str">
            <v>Елец</v>
          </cell>
          <cell r="M13" t="str">
            <v>Бейк Е.В.</v>
          </cell>
        </row>
        <row r="14">
          <cell r="B14">
            <v>7</v>
          </cell>
          <cell r="C14" t="str">
            <v>Ж</v>
          </cell>
          <cell r="D14" t="str">
            <v>Малова</v>
          </cell>
          <cell r="E14" t="str">
            <v>Елизавета</v>
          </cell>
          <cell r="F14" t="str">
            <v>Кирилловна</v>
          </cell>
          <cell r="G14">
            <v>37719</v>
          </cell>
          <cell r="H14">
            <v>12</v>
          </cell>
          <cell r="I14" t="str">
            <v>5 кю</v>
          </cell>
          <cell r="J14">
            <v>36</v>
          </cell>
          <cell r="K14" t="str">
            <v>ПК 45</v>
          </cell>
          <cell r="L14" t="str">
            <v>Москва</v>
          </cell>
          <cell r="M14" t="str">
            <v>Анаян О.Г.</v>
          </cell>
        </row>
        <row r="15">
          <cell r="B15">
            <v>8</v>
          </cell>
          <cell r="C15" t="str">
            <v>Ж</v>
          </cell>
          <cell r="D15" t="str">
            <v>Чернышова</v>
          </cell>
          <cell r="E15" t="str">
            <v>Юлия</v>
          </cell>
          <cell r="F15" t="str">
            <v>Михайловна</v>
          </cell>
          <cell r="G15">
            <v>37898</v>
          </cell>
          <cell r="H15">
            <v>12</v>
          </cell>
          <cell r="I15">
            <v>7</v>
          </cell>
          <cell r="J15">
            <v>34</v>
          </cell>
          <cell r="K15" t="str">
            <v>ПК 45</v>
          </cell>
          <cell r="L15" t="str">
            <v>Грязи</v>
          </cell>
          <cell r="M15" t="str">
            <v>Моисеев И.Н.</v>
          </cell>
        </row>
        <row r="16">
          <cell r="B16">
            <v>9</v>
          </cell>
          <cell r="C16" t="str">
            <v>Ж</v>
          </cell>
        </row>
        <row r="17">
          <cell r="B17">
            <v>10</v>
          </cell>
          <cell r="C17" t="str">
            <v>Ж</v>
          </cell>
        </row>
        <row r="18">
          <cell r="B18">
            <v>11</v>
          </cell>
          <cell r="C18" t="str">
            <v>Ж</v>
          </cell>
        </row>
        <row r="19">
          <cell r="B19">
            <v>12</v>
          </cell>
          <cell r="C19" t="str">
            <v>Ж</v>
          </cell>
        </row>
        <row r="20">
          <cell r="B20">
            <v>13</v>
          </cell>
          <cell r="C20" t="str">
            <v>Ж</v>
          </cell>
        </row>
        <row r="21">
          <cell r="B21">
            <v>14</v>
          </cell>
          <cell r="C21" t="str">
            <v>Ж</v>
          </cell>
        </row>
        <row r="22">
          <cell r="B22">
            <v>15</v>
          </cell>
          <cell r="C22" t="str">
            <v>Ж</v>
          </cell>
        </row>
        <row r="23">
          <cell r="B23">
            <v>16</v>
          </cell>
          <cell r="C23" t="str">
            <v>Ж</v>
          </cell>
        </row>
        <row r="24">
          <cell r="B24">
            <v>17</v>
          </cell>
          <cell r="C24" t="str">
            <v>Ж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Ж</v>
          </cell>
          <cell r="D8" t="str">
            <v>Гугнина </v>
          </cell>
          <cell r="E8" t="str">
            <v>Виктория </v>
          </cell>
          <cell r="F8" t="str">
            <v>Сергеевна </v>
          </cell>
          <cell r="G8" t="str">
            <v>26.01.2003 </v>
          </cell>
          <cell r="H8" t="str">
            <v>13 </v>
          </cell>
          <cell r="I8" t="str">
            <v>7 </v>
          </cell>
          <cell r="J8" t="str">
            <v>60 кг </v>
          </cell>
          <cell r="K8" t="str">
            <v>ПК 60 </v>
          </cell>
          <cell r="L8" t="str">
            <v>Липецк Годзю-рю</v>
          </cell>
          <cell r="M8" t="str">
            <v>Николаев Э.Б. </v>
          </cell>
        </row>
        <row r="9">
          <cell r="B9">
            <v>2</v>
          </cell>
          <cell r="C9" t="str">
            <v>Ж</v>
          </cell>
          <cell r="D9" t="str">
            <v xml:space="preserve">Проскурякова </v>
          </cell>
          <cell r="E9" t="str">
            <v>Алина</v>
          </cell>
          <cell r="F9" t="str">
            <v>Валерьевна</v>
          </cell>
          <cell r="G9" t="str">
            <v>05.04.2002 </v>
          </cell>
          <cell r="H9">
            <v>13</v>
          </cell>
          <cell r="I9">
            <v>2</v>
          </cell>
          <cell r="J9">
            <v>52</v>
          </cell>
          <cell r="K9" t="str">
            <v>ПК 60</v>
          </cell>
          <cell r="L9" t="str">
            <v>Тамбовская обл</v>
          </cell>
          <cell r="M9" t="str">
            <v>Сафронов А.В.</v>
          </cell>
        </row>
        <row r="10">
          <cell r="B10">
            <v>3</v>
          </cell>
          <cell r="C10" t="str">
            <v>Ж</v>
          </cell>
          <cell r="D10" t="str">
            <v xml:space="preserve">Баранова </v>
          </cell>
          <cell r="E10" t="str">
            <v xml:space="preserve">Карина </v>
          </cell>
          <cell r="F10" t="str">
            <v>Сергеевна</v>
          </cell>
          <cell r="G10">
            <v>37760</v>
          </cell>
          <cell r="H10">
            <v>12</v>
          </cell>
          <cell r="I10">
            <v>9</v>
          </cell>
          <cell r="J10">
            <v>59</v>
          </cell>
          <cell r="K10" t="str">
            <v>ПК 60</v>
          </cell>
          <cell r="L10" t="str">
            <v>Тамбовская обл</v>
          </cell>
          <cell r="M10" t="str">
            <v>Семишова Н.Н.</v>
          </cell>
        </row>
        <row r="11">
          <cell r="B11">
            <v>4</v>
          </cell>
          <cell r="C11" t="str">
            <v>Ж</v>
          </cell>
          <cell r="D11" t="str">
            <v xml:space="preserve">Максимова </v>
          </cell>
          <cell r="E11" t="str">
            <v>Алина</v>
          </cell>
          <cell r="F11" t="str">
            <v>Сергеевич</v>
          </cell>
          <cell r="G11">
            <v>37377</v>
          </cell>
          <cell r="H11">
            <v>13</v>
          </cell>
          <cell r="I11">
            <v>10</v>
          </cell>
          <cell r="J11">
            <v>51</v>
          </cell>
          <cell r="K11" t="str">
            <v>ПК 60</v>
          </cell>
          <cell r="L11" t="str">
            <v>Тамбовская обл</v>
          </cell>
          <cell r="M11" t="str">
            <v>Антакова Е.В.</v>
          </cell>
        </row>
        <row r="12">
          <cell r="B12">
            <v>5</v>
          </cell>
          <cell r="C12" t="str">
            <v>Ж</v>
          </cell>
          <cell r="D12" t="str">
            <v xml:space="preserve">Вазагова </v>
          </cell>
          <cell r="E12" t="str">
            <v>Мзия</v>
          </cell>
          <cell r="F12" t="str">
            <v>Мамуковна</v>
          </cell>
          <cell r="G12">
            <v>37401</v>
          </cell>
          <cell r="H12">
            <v>13</v>
          </cell>
          <cell r="I12">
            <v>6</v>
          </cell>
          <cell r="J12">
            <v>59</v>
          </cell>
          <cell r="K12" t="str">
            <v>ПК 60</v>
          </cell>
          <cell r="L12" t="str">
            <v>Задонск</v>
          </cell>
          <cell r="M12" t="str">
            <v>Лобеев А.А.</v>
          </cell>
        </row>
        <row r="13">
          <cell r="B13">
            <v>6</v>
          </cell>
          <cell r="C13" t="str">
            <v>Ж</v>
          </cell>
          <cell r="D13" t="str">
            <v>Кузина</v>
          </cell>
          <cell r="E13" t="str">
            <v>Анастасия</v>
          </cell>
          <cell r="F13" t="str">
            <v>Романовна</v>
          </cell>
          <cell r="G13">
            <v>37369</v>
          </cell>
          <cell r="H13">
            <v>13</v>
          </cell>
          <cell r="I13">
            <v>9</v>
          </cell>
          <cell r="J13">
            <v>49</v>
          </cell>
          <cell r="K13" t="str">
            <v>ПК 60</v>
          </cell>
          <cell r="L13" t="str">
            <v>Задонск</v>
          </cell>
          <cell r="M13" t="str">
            <v>Лобеев А.А.</v>
          </cell>
        </row>
        <row r="14">
          <cell r="B14">
            <v>7</v>
          </cell>
          <cell r="C14" t="str">
            <v>Ж</v>
          </cell>
          <cell r="D14" t="str">
            <v>Шабалкина</v>
          </cell>
          <cell r="E14" t="str">
            <v>Елизавета</v>
          </cell>
          <cell r="F14" t="str">
            <v>Сергеевна</v>
          </cell>
          <cell r="G14">
            <v>37832</v>
          </cell>
          <cell r="H14">
            <v>12</v>
          </cell>
          <cell r="I14">
            <v>8</v>
          </cell>
          <cell r="J14">
            <v>54</v>
          </cell>
          <cell r="K14" t="str">
            <v>ПК 60</v>
          </cell>
          <cell r="L14" t="str">
            <v>Москва</v>
          </cell>
          <cell r="M14" t="str">
            <v>Анаян О.Г.</v>
          </cell>
        </row>
        <row r="15">
          <cell r="B15">
            <v>8</v>
          </cell>
          <cell r="C15" t="str">
            <v>Ж</v>
          </cell>
          <cell r="D15" t="str">
            <v>Попова</v>
          </cell>
          <cell r="E15" t="str">
            <v>Татьяна</v>
          </cell>
          <cell r="F15" t="str">
            <v>Олеговна</v>
          </cell>
          <cell r="G15">
            <v>37720</v>
          </cell>
          <cell r="H15">
            <v>12</v>
          </cell>
          <cell r="I15">
            <v>6</v>
          </cell>
          <cell r="J15">
            <v>45</v>
          </cell>
          <cell r="K15" t="str">
            <v>ПК 60</v>
          </cell>
          <cell r="L15" t="str">
            <v>Елец</v>
          </cell>
          <cell r="M15" t="str">
            <v>Акопян А.В.</v>
          </cell>
        </row>
        <row r="16">
          <cell r="B16">
            <v>9</v>
          </cell>
          <cell r="C16" t="str">
            <v>Ж</v>
          </cell>
          <cell r="D16" t="str">
            <v xml:space="preserve">Чалая </v>
          </cell>
          <cell r="E16" t="str">
            <v>Олеся</v>
          </cell>
          <cell r="F16" t="str">
            <v xml:space="preserve">Владимировна </v>
          </cell>
          <cell r="G16">
            <v>37764</v>
          </cell>
          <cell r="H16">
            <v>12</v>
          </cell>
          <cell r="J16">
            <v>60</v>
          </cell>
          <cell r="K16" t="str">
            <v>ПК</v>
          </cell>
          <cell r="L16" t="str">
            <v>Россошь Сакура</v>
          </cell>
          <cell r="M16" t="str">
            <v>Кульбакин А.С</v>
          </cell>
        </row>
        <row r="17">
          <cell r="B17">
            <v>10</v>
          </cell>
          <cell r="C17" t="str">
            <v>Ж</v>
          </cell>
          <cell r="D17" t="str">
            <v xml:space="preserve">Ковалёва </v>
          </cell>
          <cell r="E17" t="str">
            <v xml:space="preserve">Виктория </v>
          </cell>
          <cell r="F17" t="str">
            <v xml:space="preserve">Сергеевна </v>
          </cell>
          <cell r="G17">
            <v>37414</v>
          </cell>
          <cell r="H17">
            <v>13</v>
          </cell>
          <cell r="J17">
            <v>60</v>
          </cell>
          <cell r="K17" t="str">
            <v>ПК</v>
          </cell>
          <cell r="L17" t="str">
            <v>Россошь Сакура</v>
          </cell>
          <cell r="M17" t="str">
            <v>Кульбакин А.С</v>
          </cell>
        </row>
        <row r="18">
          <cell r="B18">
            <v>11</v>
          </cell>
          <cell r="C18" t="str">
            <v>Ж</v>
          </cell>
        </row>
        <row r="19">
          <cell r="B19">
            <v>12</v>
          </cell>
          <cell r="C19" t="str">
            <v>Ж</v>
          </cell>
        </row>
        <row r="20">
          <cell r="B20">
            <v>13</v>
          </cell>
          <cell r="C20" t="str">
            <v>Ж</v>
          </cell>
        </row>
        <row r="21">
          <cell r="B21">
            <v>14</v>
          </cell>
          <cell r="C21" t="str">
            <v>Ж</v>
          </cell>
        </row>
        <row r="22">
          <cell r="B22">
            <v>15</v>
          </cell>
          <cell r="C22" t="str">
            <v>Ж</v>
          </cell>
        </row>
        <row r="23">
          <cell r="B23">
            <v>16</v>
          </cell>
          <cell r="C23" t="str">
            <v>Ж</v>
          </cell>
        </row>
        <row r="24">
          <cell r="B24">
            <v>17</v>
          </cell>
          <cell r="C24" t="str">
            <v>Ж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 xml:space="preserve">Елецких </v>
          </cell>
          <cell r="E8" t="str">
            <v>Алексей</v>
          </cell>
          <cell r="F8" t="str">
            <v>Владимирович</v>
          </cell>
          <cell r="G8">
            <v>38996</v>
          </cell>
          <cell r="H8">
            <v>9</v>
          </cell>
          <cell r="I8">
            <v>10</v>
          </cell>
          <cell r="J8">
            <v>30</v>
          </cell>
          <cell r="K8" t="str">
            <v>ПК 33</v>
          </cell>
          <cell r="L8" t="str">
            <v>Елец</v>
          </cell>
          <cell r="M8" t="str">
            <v>Акопян А.В</v>
          </cell>
        </row>
        <row r="9">
          <cell r="B9">
            <v>2</v>
          </cell>
          <cell r="C9" t="str">
            <v>М</v>
          </cell>
          <cell r="D9" t="str">
            <v xml:space="preserve">Глазков </v>
          </cell>
          <cell r="E9" t="str">
            <v>Артем</v>
          </cell>
          <cell r="F9" t="str">
            <v>Сергеевич</v>
          </cell>
          <cell r="G9">
            <v>39226</v>
          </cell>
          <cell r="H9">
            <v>8</v>
          </cell>
          <cell r="I9">
            <v>9</v>
          </cell>
          <cell r="J9">
            <v>30</v>
          </cell>
          <cell r="K9" t="str">
            <v>ПК 33</v>
          </cell>
          <cell r="L9" t="str">
            <v>Елец</v>
          </cell>
          <cell r="M9" t="str">
            <v>Акопян А.В.</v>
          </cell>
        </row>
        <row r="10">
          <cell r="B10">
            <v>3</v>
          </cell>
          <cell r="C10" t="str">
            <v>М</v>
          </cell>
          <cell r="D10" t="str">
            <v xml:space="preserve">Скуридин </v>
          </cell>
          <cell r="E10" t="str">
            <v>Иван</v>
          </cell>
          <cell r="F10" t="str">
            <v>Сергеевич</v>
          </cell>
          <cell r="G10">
            <v>38849</v>
          </cell>
          <cell r="H10">
            <v>9</v>
          </cell>
          <cell r="I10">
            <v>9</v>
          </cell>
          <cell r="J10">
            <v>31</v>
          </cell>
          <cell r="K10" t="str">
            <v>ПК 33</v>
          </cell>
          <cell r="L10" t="str">
            <v>Елец</v>
          </cell>
          <cell r="M10" t="str">
            <v>Акопян А.В.</v>
          </cell>
        </row>
        <row r="11">
          <cell r="B11">
            <v>4</v>
          </cell>
          <cell r="C11" t="str">
            <v>М</v>
          </cell>
          <cell r="D11" t="str">
            <v>Белых</v>
          </cell>
          <cell r="E11" t="str">
            <v>Ярослав</v>
          </cell>
          <cell r="F11" t="str">
            <v>Павлович</v>
          </cell>
          <cell r="G11">
            <v>39090</v>
          </cell>
          <cell r="H11">
            <v>9</v>
          </cell>
          <cell r="I11">
            <v>10</v>
          </cell>
          <cell r="J11">
            <v>31</v>
          </cell>
          <cell r="K11" t="str">
            <v>ПК 33</v>
          </cell>
          <cell r="L11" t="str">
            <v>Елец</v>
          </cell>
          <cell r="M11" t="str">
            <v>Фомин Ю.Ю.</v>
          </cell>
        </row>
        <row r="12">
          <cell r="B12">
            <v>5</v>
          </cell>
          <cell r="C12" t="str">
            <v>М</v>
          </cell>
          <cell r="D12" t="str">
            <v>Семянников</v>
          </cell>
          <cell r="E12" t="str">
            <v>Алексей</v>
          </cell>
          <cell r="F12" t="str">
            <v>Валерьевич</v>
          </cell>
          <cell r="G12">
            <v>38764</v>
          </cell>
          <cell r="H12">
            <v>9</v>
          </cell>
          <cell r="I12">
            <v>9</v>
          </cell>
          <cell r="J12">
            <v>32</v>
          </cell>
          <cell r="K12" t="str">
            <v>ПК 33</v>
          </cell>
          <cell r="L12" t="str">
            <v>Елец</v>
          </cell>
          <cell r="M12" t="str">
            <v>Фомин Ю.Ю.</v>
          </cell>
        </row>
        <row r="13">
          <cell r="B13">
            <v>6</v>
          </cell>
          <cell r="C13" t="str">
            <v>М</v>
          </cell>
          <cell r="D13" t="str">
            <v>Алексеев</v>
          </cell>
          <cell r="E13" t="str">
            <v>Федор</v>
          </cell>
          <cell r="F13" t="str">
            <v>Михайлович</v>
          </cell>
          <cell r="G13">
            <v>39046</v>
          </cell>
          <cell r="H13">
            <v>9</v>
          </cell>
          <cell r="I13">
            <v>8</v>
          </cell>
          <cell r="J13">
            <v>32</v>
          </cell>
          <cell r="K13" t="str">
            <v>ПК 33</v>
          </cell>
          <cell r="L13" t="str">
            <v>Липецк IKO</v>
          </cell>
          <cell r="M13" t="str">
            <v>Бедоян В.Г</v>
          </cell>
        </row>
        <row r="14">
          <cell r="B14">
            <v>7</v>
          </cell>
          <cell r="C14" t="str">
            <v>М</v>
          </cell>
          <cell r="D14" t="str">
            <v>Фомкин</v>
          </cell>
          <cell r="E14" t="str">
            <v>Евгений</v>
          </cell>
          <cell r="F14" t="str">
            <v>Владимирович</v>
          </cell>
          <cell r="G14">
            <v>39104</v>
          </cell>
          <cell r="H14">
            <v>9</v>
          </cell>
          <cell r="I14">
            <v>10</v>
          </cell>
          <cell r="J14">
            <v>32</v>
          </cell>
          <cell r="K14" t="str">
            <v>ПК 33</v>
          </cell>
          <cell r="L14" t="str">
            <v>Липецк KAN</v>
          </cell>
          <cell r="M14" t="str">
            <v>Цуканов А.С.</v>
          </cell>
        </row>
        <row r="15">
          <cell r="B15">
            <v>8</v>
          </cell>
          <cell r="C15" t="str">
            <v>М</v>
          </cell>
          <cell r="D15" t="str">
            <v>Кретов </v>
          </cell>
          <cell r="E15" t="str">
            <v>Арсений </v>
          </cell>
          <cell r="F15" t="str">
            <v>Валентинович </v>
          </cell>
          <cell r="G15" t="str">
            <v>17.05.2007 </v>
          </cell>
          <cell r="H15" t="str">
            <v>8 </v>
          </cell>
          <cell r="I15" t="str">
            <v>9 </v>
          </cell>
          <cell r="J15" t="str">
            <v>32 </v>
          </cell>
          <cell r="K15" t="str">
            <v>ПК 33</v>
          </cell>
          <cell r="L15" t="str">
            <v>Липецк Годзю-рю</v>
          </cell>
          <cell r="M15" t="str">
            <v>Николаев Э.Б </v>
          </cell>
        </row>
        <row r="16">
          <cell r="B16">
            <v>9</v>
          </cell>
          <cell r="C16" t="str">
            <v>М</v>
          </cell>
          <cell r="D16" t="str">
            <v>Смагин</v>
          </cell>
          <cell r="E16" t="str">
            <v>Михаил</v>
          </cell>
          <cell r="F16" t="str">
            <v>Романович</v>
          </cell>
          <cell r="G16">
            <v>39422</v>
          </cell>
          <cell r="H16">
            <v>8</v>
          </cell>
          <cell r="I16">
            <v>9</v>
          </cell>
          <cell r="J16">
            <v>32</v>
          </cell>
          <cell r="K16" t="str">
            <v>ПК 33</v>
          </cell>
          <cell r="L16" t="str">
            <v>Москва</v>
          </cell>
          <cell r="M16" t="str">
            <v>Конышев С.В.</v>
          </cell>
        </row>
        <row r="17">
          <cell r="B17">
            <v>10</v>
          </cell>
          <cell r="C17" t="str">
            <v>М</v>
          </cell>
          <cell r="D17" t="str">
            <v>Андреев</v>
          </cell>
          <cell r="E17" t="str">
            <v>Виталий</v>
          </cell>
          <cell r="F17" t="str">
            <v>Максимович</v>
          </cell>
          <cell r="G17">
            <v>39082</v>
          </cell>
          <cell r="H17">
            <v>9</v>
          </cell>
          <cell r="I17">
            <v>6</v>
          </cell>
          <cell r="J17">
            <v>33</v>
          </cell>
          <cell r="K17" t="str">
            <v>ПК 33</v>
          </cell>
          <cell r="L17" t="str">
            <v>Москва</v>
          </cell>
          <cell r="M17" t="str">
            <v>Топоркова О.В.</v>
          </cell>
        </row>
        <row r="18">
          <cell r="B18">
            <v>11</v>
          </cell>
          <cell r="C18" t="str">
            <v>М</v>
          </cell>
          <cell r="D18" t="str">
            <v>Титов</v>
          </cell>
          <cell r="E18" t="str">
            <v>Даниил</v>
          </cell>
          <cell r="F18" t="str">
            <v>Александрович</v>
          </cell>
          <cell r="G18">
            <v>38820</v>
          </cell>
          <cell r="H18">
            <v>9</v>
          </cell>
          <cell r="I18">
            <v>7</v>
          </cell>
          <cell r="J18">
            <v>33</v>
          </cell>
          <cell r="K18" t="str">
            <v>ПК 33</v>
          </cell>
          <cell r="L18" t="str">
            <v>Тамбовская обл</v>
          </cell>
          <cell r="M18" t="str">
            <v>Кузнецова Е.Н.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</row>
        <row r="23">
          <cell r="B23">
            <v>16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Ж</v>
          </cell>
          <cell r="D8" t="str">
            <v>Селиверстова</v>
          </cell>
          <cell r="E8" t="str">
            <v>Алена</v>
          </cell>
          <cell r="F8" t="str">
            <v>Андреевна</v>
          </cell>
          <cell r="G8">
            <v>37397</v>
          </cell>
          <cell r="H8">
            <v>14</v>
          </cell>
          <cell r="J8">
            <v>36</v>
          </cell>
          <cell r="K8" t="str">
            <v>ПК 65</v>
          </cell>
          <cell r="L8" t="str">
            <v>Задонск</v>
          </cell>
          <cell r="M8" t="str">
            <v>Лобеев А.А.</v>
          </cell>
        </row>
        <row r="9">
          <cell r="B9">
            <v>2</v>
          </cell>
          <cell r="C9" t="str">
            <v>Ж</v>
          </cell>
          <cell r="D9" t="str">
            <v>Войкова</v>
          </cell>
          <cell r="E9" t="str">
            <v>Милена</v>
          </cell>
          <cell r="F9" t="str">
            <v>Александровна</v>
          </cell>
          <cell r="G9">
            <v>36764</v>
          </cell>
          <cell r="H9">
            <v>15</v>
          </cell>
          <cell r="I9">
            <v>8</v>
          </cell>
          <cell r="J9">
            <v>39</v>
          </cell>
          <cell r="K9" t="str">
            <v>ПК 65</v>
          </cell>
          <cell r="L9" t="str">
            <v>Грязи</v>
          </cell>
          <cell r="M9" t="str">
            <v>Моисеев И.Н.</v>
          </cell>
        </row>
        <row r="10">
          <cell r="B10">
            <v>3</v>
          </cell>
          <cell r="C10" t="str">
            <v>Ж</v>
          </cell>
          <cell r="D10" t="str">
            <v xml:space="preserve">Двуреченская </v>
          </cell>
          <cell r="E10" t="str">
            <v>Арина</v>
          </cell>
          <cell r="F10" t="str">
            <v>Дмитриевна</v>
          </cell>
          <cell r="G10">
            <v>37167</v>
          </cell>
          <cell r="H10">
            <v>14</v>
          </cell>
          <cell r="I10">
            <v>10</v>
          </cell>
          <cell r="J10">
            <v>40</v>
          </cell>
          <cell r="K10" t="str">
            <v>ПК 65</v>
          </cell>
          <cell r="L10" t="str">
            <v>Липецк IKO</v>
          </cell>
          <cell r="M10" t="str">
            <v>Бедоян В.Г</v>
          </cell>
        </row>
        <row r="11">
          <cell r="B11">
            <v>4</v>
          </cell>
          <cell r="C11" t="str">
            <v>Ж</v>
          </cell>
          <cell r="D11" t="str">
            <v>Иванникова</v>
          </cell>
          <cell r="E11" t="str">
            <v>Елизавета</v>
          </cell>
          <cell r="F11" t="str">
            <v>Алексеевна</v>
          </cell>
          <cell r="G11">
            <v>36886</v>
          </cell>
          <cell r="H11">
            <v>15</v>
          </cell>
          <cell r="I11">
            <v>3</v>
          </cell>
          <cell r="J11">
            <v>52</v>
          </cell>
          <cell r="K11" t="str">
            <v>ПК 65</v>
          </cell>
          <cell r="L11" t="str">
            <v>Воронеж</v>
          </cell>
          <cell r="M11" t="str">
            <v>Власов В.В.</v>
          </cell>
        </row>
        <row r="12">
          <cell r="B12">
            <v>5</v>
          </cell>
          <cell r="C12" t="str">
            <v>Ж</v>
          </cell>
        </row>
        <row r="13">
          <cell r="B13">
            <v>6</v>
          </cell>
          <cell r="C13" t="str">
            <v>Ж</v>
          </cell>
        </row>
        <row r="14">
          <cell r="B14">
            <v>7</v>
          </cell>
          <cell r="C14" t="str">
            <v>Ж</v>
          </cell>
        </row>
        <row r="15">
          <cell r="B15">
            <v>8</v>
          </cell>
          <cell r="C15" t="str">
            <v>Ж</v>
          </cell>
        </row>
        <row r="16">
          <cell r="B16">
            <v>9</v>
          </cell>
          <cell r="C16" t="str">
            <v>Ж</v>
          </cell>
        </row>
        <row r="17">
          <cell r="B17">
            <v>10</v>
          </cell>
          <cell r="C17" t="str">
            <v>Ж</v>
          </cell>
        </row>
        <row r="18">
          <cell r="B18">
            <v>11</v>
          </cell>
          <cell r="C18" t="str">
            <v>Ж</v>
          </cell>
        </row>
        <row r="19">
          <cell r="B19">
            <v>12</v>
          </cell>
          <cell r="C19" t="str">
            <v>Ж</v>
          </cell>
        </row>
        <row r="20">
          <cell r="B20">
            <v>13</v>
          </cell>
          <cell r="C20" t="str">
            <v>Ж</v>
          </cell>
        </row>
        <row r="21">
          <cell r="B21">
            <v>14</v>
          </cell>
          <cell r="C21" t="str">
            <v>Ж</v>
          </cell>
        </row>
        <row r="22">
          <cell r="B22">
            <v>15</v>
          </cell>
          <cell r="C22" t="str">
            <v>Ж</v>
          </cell>
        </row>
        <row r="23">
          <cell r="B23">
            <v>16</v>
          </cell>
          <cell r="C23" t="str">
            <v>Ж</v>
          </cell>
        </row>
        <row r="24">
          <cell r="B24">
            <v>17</v>
          </cell>
          <cell r="C24" t="str">
            <v>Ж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Ж</v>
          </cell>
          <cell r="D8" t="str">
            <v>Иванникова</v>
          </cell>
          <cell r="E8" t="str">
            <v>Екатерина</v>
          </cell>
          <cell r="F8" t="str">
            <v>Алексеевна</v>
          </cell>
          <cell r="G8">
            <v>36073</v>
          </cell>
          <cell r="H8">
            <v>17</v>
          </cell>
          <cell r="I8">
            <v>3</v>
          </cell>
          <cell r="J8">
            <v>55</v>
          </cell>
          <cell r="K8" t="str">
            <v>ПК</v>
          </cell>
          <cell r="L8" t="str">
            <v>Воронеж</v>
          </cell>
          <cell r="M8" t="str">
            <v>Власов В.В.</v>
          </cell>
        </row>
        <row r="9">
          <cell r="B9">
            <v>2</v>
          </cell>
          <cell r="C9" t="str">
            <v>ж</v>
          </cell>
          <cell r="D9" t="str">
            <v>Чиркова</v>
          </cell>
          <cell r="E9" t="str">
            <v>Анастасия</v>
          </cell>
          <cell r="F9" t="str">
            <v>Федоровна</v>
          </cell>
          <cell r="G9">
            <v>35905</v>
          </cell>
          <cell r="H9">
            <v>17</v>
          </cell>
          <cell r="I9">
            <v>7</v>
          </cell>
          <cell r="J9">
            <v>66</v>
          </cell>
          <cell r="K9" t="str">
            <v>ПК</v>
          </cell>
          <cell r="L9" t="str">
            <v>Грязи</v>
          </cell>
          <cell r="M9" t="str">
            <v>Попов И.В.</v>
          </cell>
        </row>
        <row r="10">
          <cell r="B10">
            <v>3</v>
          </cell>
          <cell r="C10" t="str">
            <v>Ж</v>
          </cell>
          <cell r="D10" t="str">
            <v xml:space="preserve">Мхитарян </v>
          </cell>
          <cell r="E10" t="str">
            <v>Анжела</v>
          </cell>
          <cell r="F10" t="str">
            <v>Жоровна</v>
          </cell>
          <cell r="G10">
            <v>35932</v>
          </cell>
          <cell r="H10">
            <v>17</v>
          </cell>
          <cell r="I10">
            <v>3</v>
          </cell>
          <cell r="J10">
            <v>45</v>
          </cell>
          <cell r="K10" t="str">
            <v>ПК</v>
          </cell>
          <cell r="L10" t="str">
            <v>Россошь с\к Химик</v>
          </cell>
          <cell r="M10" t="str">
            <v>Шилов Р.И.</v>
          </cell>
        </row>
        <row r="11">
          <cell r="B11">
            <v>4</v>
          </cell>
          <cell r="C11" t="str">
            <v>Ж</v>
          </cell>
          <cell r="D11" t="str">
            <v>Лозовая</v>
          </cell>
          <cell r="E11" t="str">
            <v>Анжелика</v>
          </cell>
          <cell r="F11" t="str">
            <v>Витальевна</v>
          </cell>
          <cell r="G11">
            <v>36257</v>
          </cell>
          <cell r="H11">
            <v>16</v>
          </cell>
          <cell r="I11">
            <v>6</v>
          </cell>
          <cell r="J11">
            <v>54</v>
          </cell>
          <cell r="K11" t="str">
            <v>ПК</v>
          </cell>
          <cell r="L11" t="str">
            <v>Россошь с\к Химик</v>
          </cell>
          <cell r="M11" t="str">
            <v>Шилов Р.И.</v>
          </cell>
        </row>
        <row r="12">
          <cell r="B12">
            <v>5</v>
          </cell>
          <cell r="C12" t="str">
            <v>Ж</v>
          </cell>
          <cell r="D12" t="str">
            <v xml:space="preserve">Козиева </v>
          </cell>
          <cell r="E12" t="str">
            <v xml:space="preserve">Алёна </v>
          </cell>
          <cell r="F12" t="str">
            <v xml:space="preserve">Александровна </v>
          </cell>
          <cell r="G12">
            <v>36227</v>
          </cell>
          <cell r="H12">
            <v>16</v>
          </cell>
          <cell r="J12">
            <v>52</v>
          </cell>
          <cell r="K12" t="str">
            <v>ПК</v>
          </cell>
          <cell r="L12" t="str">
            <v>Россошь Сакура</v>
          </cell>
          <cell r="M12" t="str">
            <v>Кульбакин А.С</v>
          </cell>
        </row>
        <row r="13">
          <cell r="B13">
            <v>6</v>
          </cell>
          <cell r="C13" t="str">
            <v>Ж</v>
          </cell>
        </row>
        <row r="14">
          <cell r="B14">
            <v>7</v>
          </cell>
          <cell r="C14" t="str">
            <v>Ж</v>
          </cell>
        </row>
        <row r="15">
          <cell r="B15">
            <v>8</v>
          </cell>
          <cell r="C15" t="str">
            <v>Ж</v>
          </cell>
        </row>
        <row r="16">
          <cell r="B16">
            <v>9</v>
          </cell>
          <cell r="C16" t="str">
            <v>Ж</v>
          </cell>
        </row>
        <row r="17">
          <cell r="B17">
            <v>10</v>
          </cell>
          <cell r="C17" t="str">
            <v>Ж</v>
          </cell>
        </row>
        <row r="18">
          <cell r="B18">
            <v>11</v>
          </cell>
          <cell r="C18" t="str">
            <v>Ж</v>
          </cell>
        </row>
        <row r="19">
          <cell r="B19">
            <v>12</v>
          </cell>
          <cell r="C19" t="str">
            <v>Ж</v>
          </cell>
        </row>
        <row r="20">
          <cell r="B20">
            <v>13</v>
          </cell>
          <cell r="C20" t="str">
            <v>Ж</v>
          </cell>
        </row>
        <row r="21">
          <cell r="B21">
            <v>14</v>
          </cell>
          <cell r="C21" t="str">
            <v>Ж</v>
          </cell>
        </row>
        <row r="22">
          <cell r="B22">
            <v>15</v>
          </cell>
          <cell r="C22" t="str">
            <v>Ж</v>
          </cell>
        </row>
        <row r="23">
          <cell r="B23">
            <v>16</v>
          </cell>
          <cell r="C23" t="str">
            <v>Ж</v>
          </cell>
        </row>
        <row r="24">
          <cell r="B24">
            <v>17</v>
          </cell>
          <cell r="C24" t="str">
            <v>Ж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 xml:space="preserve">Сапиро </v>
          </cell>
          <cell r="E8" t="str">
            <v>Роман</v>
          </cell>
          <cell r="F8" t="str">
            <v>Алексеевич</v>
          </cell>
          <cell r="G8">
            <v>39110</v>
          </cell>
          <cell r="H8">
            <v>9</v>
          </cell>
          <cell r="I8">
            <v>10</v>
          </cell>
          <cell r="J8">
            <v>36</v>
          </cell>
          <cell r="K8" t="str">
            <v>ПК 37</v>
          </cell>
          <cell r="L8" t="str">
            <v>Липецк IKO</v>
          </cell>
          <cell r="M8" t="str">
            <v>Бедоян В.Г</v>
          </cell>
        </row>
        <row r="9">
          <cell r="B9">
            <v>2</v>
          </cell>
          <cell r="C9" t="str">
            <v>М</v>
          </cell>
          <cell r="D9" t="str">
            <v>Дорохин</v>
          </cell>
          <cell r="E9" t="str">
            <v>Егор</v>
          </cell>
          <cell r="F9" t="str">
            <v>Александрович</v>
          </cell>
          <cell r="G9">
            <v>38952</v>
          </cell>
          <cell r="H9">
            <v>9</v>
          </cell>
          <cell r="I9">
            <v>9</v>
          </cell>
          <cell r="J9">
            <v>36</v>
          </cell>
          <cell r="K9" t="str">
            <v>ПК 37</v>
          </cell>
          <cell r="L9" t="str">
            <v>Елец</v>
          </cell>
          <cell r="M9" t="str">
            <v>Фомин Ю.Ю.</v>
          </cell>
        </row>
        <row r="10">
          <cell r="B10">
            <v>3</v>
          </cell>
          <cell r="C10" t="str">
            <v>М</v>
          </cell>
          <cell r="D10" t="str">
            <v>Мушкет</v>
          </cell>
          <cell r="E10" t="str">
            <v>Максим</v>
          </cell>
          <cell r="F10" t="str">
            <v>Александрович</v>
          </cell>
          <cell r="G10">
            <v>39002</v>
          </cell>
          <cell r="H10">
            <v>9</v>
          </cell>
          <cell r="I10">
            <v>10</v>
          </cell>
          <cell r="J10">
            <v>36</v>
          </cell>
          <cell r="K10" t="str">
            <v>ПК 37</v>
          </cell>
          <cell r="L10" t="str">
            <v>Липецк KAN</v>
          </cell>
          <cell r="M10" t="str">
            <v>Цуканов А.С.</v>
          </cell>
        </row>
        <row r="11">
          <cell r="B11">
            <v>4</v>
          </cell>
          <cell r="C11" t="str">
            <v>М</v>
          </cell>
          <cell r="D11" t="str">
            <v xml:space="preserve">Беляев </v>
          </cell>
          <cell r="E11" t="str">
            <v>Никита</v>
          </cell>
          <cell r="F11" t="str">
            <v>Валерьевич</v>
          </cell>
          <cell r="G11">
            <v>38840</v>
          </cell>
          <cell r="H11">
            <v>9</v>
          </cell>
          <cell r="I11">
            <v>9</v>
          </cell>
          <cell r="J11">
            <v>37</v>
          </cell>
          <cell r="K11" t="str">
            <v>ПК 37</v>
          </cell>
          <cell r="L11" t="str">
            <v>Липецк KAN</v>
          </cell>
          <cell r="M11" t="str">
            <v>Цуканов А.С.</v>
          </cell>
        </row>
        <row r="12">
          <cell r="B12">
            <v>5</v>
          </cell>
          <cell r="C12" t="str">
            <v>М</v>
          </cell>
          <cell r="D12" t="str">
            <v xml:space="preserve">Готовкин </v>
          </cell>
          <cell r="E12" t="str">
            <v>Роман</v>
          </cell>
          <cell r="F12" t="str">
            <v>Владимирович</v>
          </cell>
          <cell r="G12">
            <v>38982</v>
          </cell>
          <cell r="H12">
            <v>9</v>
          </cell>
          <cell r="I12">
            <v>8</v>
          </cell>
          <cell r="J12">
            <v>34</v>
          </cell>
          <cell r="K12" t="str">
            <v>ПК 37</v>
          </cell>
          <cell r="L12" t="str">
            <v>Елец</v>
          </cell>
          <cell r="M12" t="str">
            <v>Акопян А.В.</v>
          </cell>
        </row>
        <row r="13">
          <cell r="B13">
            <v>6</v>
          </cell>
          <cell r="C13" t="str">
            <v>М</v>
          </cell>
          <cell r="D13" t="str">
            <v>Кочетков</v>
          </cell>
          <cell r="E13" t="str">
            <v>Михаил</v>
          </cell>
          <cell r="F13" t="str">
            <v>Александрович</v>
          </cell>
          <cell r="G13">
            <v>39272</v>
          </cell>
          <cell r="H13">
            <v>8</v>
          </cell>
          <cell r="I13">
            <v>6</v>
          </cell>
          <cell r="J13">
            <v>37</v>
          </cell>
          <cell r="K13" t="str">
            <v>ПК 37</v>
          </cell>
          <cell r="L13" t="str">
            <v>Липецк IKO</v>
          </cell>
          <cell r="M13" t="str">
            <v>Горбунов А.С</v>
          </cell>
        </row>
        <row r="14">
          <cell r="B14">
            <v>7</v>
          </cell>
          <cell r="C14" t="str">
            <v>М</v>
          </cell>
          <cell r="D14" t="str">
            <v>Гришин</v>
          </cell>
          <cell r="E14" t="str">
            <v>Игорь</v>
          </cell>
          <cell r="F14" t="str">
            <v>Владимирович</v>
          </cell>
          <cell r="G14">
            <v>39047</v>
          </cell>
          <cell r="H14">
            <v>9</v>
          </cell>
          <cell r="I14">
            <v>10</v>
          </cell>
          <cell r="J14">
            <v>36</v>
          </cell>
          <cell r="K14" t="str">
            <v>ПК 37</v>
          </cell>
          <cell r="L14" t="str">
            <v>Елец</v>
          </cell>
          <cell r="M14" t="str">
            <v>Фомин Ю.Ю.</v>
          </cell>
        </row>
        <row r="15">
          <cell r="B15">
            <v>8</v>
          </cell>
          <cell r="C15" t="str">
            <v>М</v>
          </cell>
          <cell r="D15" t="str">
            <v xml:space="preserve">Жеребцов </v>
          </cell>
          <cell r="E15" t="str">
            <v>Матвей</v>
          </cell>
          <cell r="F15" t="str">
            <v>Евгеньевич</v>
          </cell>
          <cell r="G15">
            <v>38964</v>
          </cell>
          <cell r="H15">
            <v>9</v>
          </cell>
          <cell r="I15">
            <v>7</v>
          </cell>
          <cell r="J15">
            <v>35</v>
          </cell>
          <cell r="K15" t="str">
            <v>ПК 37</v>
          </cell>
          <cell r="L15" t="str">
            <v>Тамбовская обл</v>
          </cell>
          <cell r="M15" t="str">
            <v>Айриян А.И.</v>
          </cell>
        </row>
        <row r="16">
          <cell r="B16">
            <v>9</v>
          </cell>
          <cell r="C16" t="str">
            <v>М</v>
          </cell>
          <cell r="D16" t="str">
            <v>Рязанцев</v>
          </cell>
          <cell r="E16" t="str">
            <v>Егор</v>
          </cell>
          <cell r="F16" t="str">
            <v>Игоревич</v>
          </cell>
          <cell r="G16">
            <v>38839</v>
          </cell>
          <cell r="H16">
            <v>9</v>
          </cell>
          <cell r="I16">
            <v>9</v>
          </cell>
          <cell r="J16">
            <v>34</v>
          </cell>
          <cell r="K16" t="str">
            <v>ПК 37</v>
          </cell>
          <cell r="L16" t="str">
            <v>Тамбовская обл</v>
          </cell>
          <cell r="M16" t="str">
            <v>Семишова Н.Н.</v>
          </cell>
        </row>
        <row r="17">
          <cell r="B17">
            <v>10</v>
          </cell>
          <cell r="C17" t="str">
            <v>М</v>
          </cell>
          <cell r="D17" t="str">
            <v xml:space="preserve">Богатиков </v>
          </cell>
          <cell r="E17" t="str">
            <v>Никита</v>
          </cell>
          <cell r="F17" t="str">
            <v>Романович</v>
          </cell>
          <cell r="G17">
            <v>39125</v>
          </cell>
          <cell r="H17">
            <v>9</v>
          </cell>
          <cell r="I17">
            <v>9</v>
          </cell>
          <cell r="J17">
            <v>37</v>
          </cell>
          <cell r="K17" t="str">
            <v>ПК 37</v>
          </cell>
          <cell r="L17" t="str">
            <v>Елец</v>
          </cell>
          <cell r="M17" t="str">
            <v>Акопян А.В.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 xml:space="preserve">Пронин </v>
          </cell>
          <cell r="E8" t="str">
            <v>Егор</v>
          </cell>
          <cell r="F8" t="str">
            <v>Сергеевич</v>
          </cell>
          <cell r="G8">
            <v>39156</v>
          </cell>
          <cell r="H8">
            <v>9</v>
          </cell>
          <cell r="I8">
            <v>9</v>
          </cell>
          <cell r="J8">
            <v>39</v>
          </cell>
          <cell r="K8" t="str">
            <v>ПК 38+</v>
          </cell>
          <cell r="L8" t="str">
            <v>Воронеж</v>
          </cell>
          <cell r="M8" t="str">
            <v>Хрепко В.А.</v>
          </cell>
        </row>
        <row r="9">
          <cell r="B9">
            <v>2</v>
          </cell>
          <cell r="C9" t="str">
            <v>М</v>
          </cell>
          <cell r="D9" t="str">
            <v>Селеванов</v>
          </cell>
          <cell r="E9" t="str">
            <v>Кирилл</v>
          </cell>
          <cell r="F9" t="str">
            <v>Викторович</v>
          </cell>
          <cell r="G9">
            <v>39443</v>
          </cell>
          <cell r="H9">
            <v>9</v>
          </cell>
          <cell r="I9">
            <v>8</v>
          </cell>
          <cell r="J9">
            <v>39</v>
          </cell>
          <cell r="K9" t="str">
            <v>ПК 38+</v>
          </cell>
          <cell r="L9" t="str">
            <v>Тамбовская обл</v>
          </cell>
          <cell r="M9" t="str">
            <v>Кузнецова Е.Н.</v>
          </cell>
        </row>
        <row r="10">
          <cell r="B10">
            <v>3</v>
          </cell>
          <cell r="C10" t="str">
            <v>М</v>
          </cell>
          <cell r="D10" t="str">
            <v>Рябцев</v>
          </cell>
          <cell r="E10" t="str">
            <v>Егор</v>
          </cell>
          <cell r="F10" t="str">
            <v>Александрович</v>
          </cell>
          <cell r="G10">
            <v>38780</v>
          </cell>
          <cell r="H10">
            <v>9</v>
          </cell>
          <cell r="I10">
            <v>10</v>
          </cell>
          <cell r="J10">
            <v>38</v>
          </cell>
          <cell r="K10" t="str">
            <v>ПК 38+</v>
          </cell>
          <cell r="L10" t="str">
            <v>Елец</v>
          </cell>
          <cell r="M10" t="str">
            <v>Фомин Ю.Ю.</v>
          </cell>
        </row>
        <row r="11">
          <cell r="B11">
            <v>4</v>
          </cell>
          <cell r="C11" t="str">
            <v>М</v>
          </cell>
          <cell r="D11" t="str">
            <v xml:space="preserve">Шапошников </v>
          </cell>
          <cell r="E11" t="str">
            <v>Егор</v>
          </cell>
          <cell r="F11" t="str">
            <v>Сергеевич</v>
          </cell>
          <cell r="G11">
            <v>39325</v>
          </cell>
          <cell r="H11">
            <v>8</v>
          </cell>
          <cell r="I11">
            <v>9</v>
          </cell>
          <cell r="J11">
            <v>43</v>
          </cell>
          <cell r="K11" t="str">
            <v>ПК 38+</v>
          </cell>
          <cell r="L11" t="str">
            <v>Елец</v>
          </cell>
          <cell r="M11" t="str">
            <v>Акопян А.В.</v>
          </cell>
        </row>
        <row r="12">
          <cell r="B12">
            <v>5</v>
          </cell>
          <cell r="C12" t="str">
            <v>М</v>
          </cell>
          <cell r="D12" t="str">
            <v xml:space="preserve">Соломахин </v>
          </cell>
          <cell r="E12" t="str">
            <v>Демид</v>
          </cell>
          <cell r="F12" t="str">
            <v>Сергеевич</v>
          </cell>
          <cell r="G12">
            <v>39062</v>
          </cell>
          <cell r="H12">
            <v>9</v>
          </cell>
          <cell r="I12">
            <v>10</v>
          </cell>
          <cell r="J12">
            <v>46</v>
          </cell>
          <cell r="K12" t="str">
            <v>ПК 38+</v>
          </cell>
          <cell r="L12" t="str">
            <v>Елец</v>
          </cell>
          <cell r="M12" t="str">
            <v>Акопян А.В.</v>
          </cell>
        </row>
        <row r="13">
          <cell r="B13">
            <v>6</v>
          </cell>
          <cell r="C13" t="str">
            <v>М</v>
          </cell>
          <cell r="D13" t="str">
            <v xml:space="preserve">Жирков </v>
          </cell>
          <cell r="E13" t="str">
            <v>Егор</v>
          </cell>
          <cell r="F13" t="str">
            <v>Владимирович</v>
          </cell>
          <cell r="G13">
            <v>39437</v>
          </cell>
          <cell r="H13">
            <v>8</v>
          </cell>
          <cell r="I13">
            <v>10</v>
          </cell>
          <cell r="J13">
            <v>39</v>
          </cell>
          <cell r="K13" t="str">
            <v>ПК 38+</v>
          </cell>
          <cell r="L13" t="str">
            <v>Липецк IKO</v>
          </cell>
          <cell r="M13" t="str">
            <v>Бедоян В.Г</v>
          </cell>
        </row>
        <row r="14">
          <cell r="B14">
            <v>7</v>
          </cell>
          <cell r="C14" t="str">
            <v>М</v>
          </cell>
          <cell r="D14" t="str">
            <v>Адерихин</v>
          </cell>
          <cell r="E14" t="str">
            <v>Егор</v>
          </cell>
          <cell r="F14" t="str">
            <v>Юрьевич</v>
          </cell>
          <cell r="G14">
            <v>39160</v>
          </cell>
          <cell r="H14">
            <v>9</v>
          </cell>
          <cell r="I14">
            <v>8</v>
          </cell>
          <cell r="J14">
            <v>43</v>
          </cell>
          <cell r="K14" t="str">
            <v>ПК 38+</v>
          </cell>
          <cell r="L14" t="str">
            <v>Липецк IKO</v>
          </cell>
          <cell r="M14" t="str">
            <v>Бедоян В.Г</v>
          </cell>
        </row>
        <row r="15">
          <cell r="B15">
            <v>8</v>
          </cell>
          <cell r="C15" t="str">
            <v>М</v>
          </cell>
          <cell r="D15" t="str">
            <v>Пронин</v>
          </cell>
          <cell r="E15" t="str">
            <v>Дмитрий</v>
          </cell>
          <cell r="F15" t="str">
            <v>Андреевич</v>
          </cell>
          <cell r="G15">
            <v>38863</v>
          </cell>
          <cell r="H15">
            <v>9</v>
          </cell>
          <cell r="I15">
            <v>10</v>
          </cell>
          <cell r="J15">
            <v>38</v>
          </cell>
          <cell r="K15" t="str">
            <v>ПК 38+</v>
          </cell>
          <cell r="L15" t="str">
            <v>Воронеж</v>
          </cell>
          <cell r="M15" t="str">
            <v>Хрепко В.А.</v>
          </cell>
        </row>
        <row r="16">
          <cell r="B16">
            <v>9</v>
          </cell>
          <cell r="C16" t="str">
            <v>М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>Мукасеев</v>
          </cell>
          <cell r="E8" t="str">
            <v>Вадим</v>
          </cell>
          <cell r="F8" t="str">
            <v>Романович</v>
          </cell>
          <cell r="G8">
            <v>38636</v>
          </cell>
          <cell r="H8">
            <v>10</v>
          </cell>
          <cell r="I8">
            <v>8</v>
          </cell>
          <cell r="J8">
            <v>32</v>
          </cell>
          <cell r="K8" t="str">
            <v>ПК-33</v>
          </cell>
          <cell r="L8" t="str">
            <v>Воронеж</v>
          </cell>
          <cell r="M8" t="str">
            <v>Хрепко В.А.</v>
          </cell>
        </row>
        <row r="9">
          <cell r="B9">
            <v>2</v>
          </cell>
          <cell r="C9" t="str">
            <v>М</v>
          </cell>
          <cell r="D9" t="str">
            <v>Новиков</v>
          </cell>
          <cell r="E9" t="str">
            <v>Артём</v>
          </cell>
          <cell r="F9" t="str">
            <v>Игоревич</v>
          </cell>
          <cell r="G9">
            <v>38530</v>
          </cell>
          <cell r="H9">
            <v>10</v>
          </cell>
          <cell r="I9">
            <v>9</v>
          </cell>
          <cell r="J9">
            <v>32</v>
          </cell>
          <cell r="K9" t="str">
            <v>ПК-33</v>
          </cell>
          <cell r="L9" t="str">
            <v>Воронеж</v>
          </cell>
          <cell r="M9" t="str">
            <v>Хрепко В.А.</v>
          </cell>
        </row>
        <row r="10">
          <cell r="B10">
            <v>3</v>
          </cell>
          <cell r="C10" t="str">
            <v>М</v>
          </cell>
          <cell r="D10" t="str">
            <v xml:space="preserve">Федюнин </v>
          </cell>
          <cell r="E10" t="str">
            <v>Денис</v>
          </cell>
          <cell r="F10" t="str">
            <v>Павлович</v>
          </cell>
          <cell r="G10">
            <v>38556</v>
          </cell>
          <cell r="H10">
            <v>10</v>
          </cell>
          <cell r="I10">
            <v>8</v>
          </cell>
          <cell r="J10">
            <v>33</v>
          </cell>
          <cell r="K10" t="str">
            <v>ПК-33</v>
          </cell>
          <cell r="L10" t="str">
            <v>Воронеж</v>
          </cell>
          <cell r="M10" t="str">
            <v>Хрепко В.А.</v>
          </cell>
        </row>
        <row r="11">
          <cell r="B11">
            <v>4</v>
          </cell>
          <cell r="C11" t="str">
            <v>М</v>
          </cell>
          <cell r="D11" t="str">
            <v>Родимов</v>
          </cell>
          <cell r="E11" t="str">
            <v>Ярослав</v>
          </cell>
          <cell r="F11" t="str">
            <v>Сергеевич</v>
          </cell>
          <cell r="G11">
            <v>38484</v>
          </cell>
          <cell r="H11">
            <v>10</v>
          </cell>
          <cell r="I11">
            <v>10</v>
          </cell>
          <cell r="J11">
            <v>28</v>
          </cell>
          <cell r="K11" t="str">
            <v>ПК-33</v>
          </cell>
          <cell r="L11" t="str">
            <v>Грязи "Катана"</v>
          </cell>
          <cell r="M11" t="str">
            <v>Козлов А.Э.</v>
          </cell>
        </row>
        <row r="12">
          <cell r="B12">
            <v>5</v>
          </cell>
          <cell r="C12" t="str">
            <v>М</v>
          </cell>
          <cell r="D12" t="str">
            <v>Конанюк</v>
          </cell>
          <cell r="E12" t="str">
            <v>Константин</v>
          </cell>
          <cell r="F12" t="str">
            <v>Богданович</v>
          </cell>
          <cell r="G12">
            <v>38405</v>
          </cell>
          <cell r="H12">
            <v>11</v>
          </cell>
          <cell r="I12">
            <v>10</v>
          </cell>
          <cell r="J12">
            <v>29</v>
          </cell>
          <cell r="K12" t="str">
            <v>ПК-33</v>
          </cell>
          <cell r="L12" t="str">
            <v>Грязи</v>
          </cell>
          <cell r="M12" t="str">
            <v>Моисеев И.Н.</v>
          </cell>
        </row>
        <row r="13">
          <cell r="B13">
            <v>6</v>
          </cell>
          <cell r="C13" t="str">
            <v>М</v>
          </cell>
          <cell r="D13" t="str">
            <v>Фарафонов</v>
          </cell>
          <cell r="E13" t="str">
            <v>Александр</v>
          </cell>
          <cell r="F13" t="str">
            <v>Дмитриевич</v>
          </cell>
          <cell r="G13">
            <v>38505</v>
          </cell>
          <cell r="H13">
            <v>10</v>
          </cell>
          <cell r="I13">
            <v>10</v>
          </cell>
          <cell r="J13">
            <v>31</v>
          </cell>
          <cell r="K13" t="str">
            <v>ПК-33</v>
          </cell>
          <cell r="L13" t="str">
            <v>Грязи</v>
          </cell>
          <cell r="M13" t="str">
            <v>Попов И.В.</v>
          </cell>
        </row>
        <row r="14">
          <cell r="B14">
            <v>7</v>
          </cell>
        </row>
        <row r="15">
          <cell r="B15">
            <v>8</v>
          </cell>
          <cell r="C15" t="str">
            <v>М</v>
          </cell>
          <cell r="D15" t="str">
            <v xml:space="preserve">Ершов </v>
          </cell>
          <cell r="E15" t="str">
            <v>Денис</v>
          </cell>
          <cell r="F15" t="str">
            <v>Юрьевич</v>
          </cell>
          <cell r="G15">
            <v>38414</v>
          </cell>
          <cell r="H15">
            <v>10</v>
          </cell>
          <cell r="I15">
            <v>9</v>
          </cell>
          <cell r="J15">
            <v>33</v>
          </cell>
          <cell r="K15" t="str">
            <v>ПК-33</v>
          </cell>
          <cell r="L15" t="str">
            <v>Елец</v>
          </cell>
          <cell r="M15" t="str">
            <v>Сальков П.С.</v>
          </cell>
        </row>
        <row r="16">
          <cell r="B16">
            <v>9</v>
          </cell>
          <cell r="C16" t="str">
            <v>М</v>
          </cell>
          <cell r="D16" t="str">
            <v>Хованских </v>
          </cell>
          <cell r="E16" t="str">
            <v>Андрей </v>
          </cell>
          <cell r="F16" t="str">
            <v>Денисович </v>
          </cell>
          <cell r="G16" t="str">
            <v>12.02.2006 </v>
          </cell>
          <cell r="H16" t="str">
            <v>10 </v>
          </cell>
          <cell r="I16" t="str">
            <v>10 </v>
          </cell>
          <cell r="J16">
            <v>32</v>
          </cell>
          <cell r="K16" t="str">
            <v>ПК-33</v>
          </cell>
          <cell r="L16" t="str">
            <v>Липецк Годзю-рю</v>
          </cell>
          <cell r="M16" t="str">
            <v>Николаев Э.Б. </v>
          </cell>
        </row>
        <row r="17">
          <cell r="B17">
            <v>10</v>
          </cell>
          <cell r="C17" t="str">
            <v>М</v>
          </cell>
          <cell r="D17" t="str">
            <v>Трифонов</v>
          </cell>
          <cell r="E17" t="str">
            <v>Денис</v>
          </cell>
          <cell r="F17" t="str">
            <v>Сергеевич</v>
          </cell>
          <cell r="G17">
            <v>38573</v>
          </cell>
          <cell r="H17">
            <v>10</v>
          </cell>
          <cell r="I17" t="str">
            <v>8 кю</v>
          </cell>
          <cell r="J17">
            <v>28</v>
          </cell>
          <cell r="K17" t="str">
            <v>ПК-33</v>
          </cell>
          <cell r="L17" t="str">
            <v>Москва</v>
          </cell>
          <cell r="M17" t="str">
            <v>Анаян О.Г.</v>
          </cell>
        </row>
        <row r="18">
          <cell r="B18">
            <v>11</v>
          </cell>
          <cell r="C18" t="str">
            <v>М</v>
          </cell>
          <cell r="D18" t="str">
            <v>Малов</v>
          </cell>
          <cell r="E18" t="str">
            <v>Артём</v>
          </cell>
          <cell r="F18" t="str">
            <v>Кириллович</v>
          </cell>
          <cell r="G18">
            <v>38455</v>
          </cell>
          <cell r="H18">
            <v>10</v>
          </cell>
          <cell r="I18" t="str">
            <v>5 кю</v>
          </cell>
          <cell r="J18">
            <v>33</v>
          </cell>
          <cell r="K18" t="str">
            <v>ПК-33</v>
          </cell>
          <cell r="L18" t="str">
            <v>Москва</v>
          </cell>
          <cell r="M18" t="str">
            <v>Анаян О.Г.</v>
          </cell>
        </row>
        <row r="19">
          <cell r="B19">
            <v>12</v>
          </cell>
          <cell r="C19" t="str">
            <v>М</v>
          </cell>
          <cell r="D19" t="str">
            <v xml:space="preserve">Плетнёв </v>
          </cell>
          <cell r="E19" t="str">
            <v xml:space="preserve">Роман </v>
          </cell>
          <cell r="F19" t="str">
            <v>Евгеньевич</v>
          </cell>
          <cell r="G19">
            <v>38552</v>
          </cell>
          <cell r="H19">
            <v>10</v>
          </cell>
          <cell r="J19">
            <v>29</v>
          </cell>
          <cell r="K19" t="str">
            <v>ПК-33</v>
          </cell>
          <cell r="L19" t="str">
            <v>Россошь Сакура</v>
          </cell>
          <cell r="M19" t="str">
            <v>Басова А.В.</v>
          </cell>
        </row>
        <row r="20">
          <cell r="B20">
            <v>13</v>
          </cell>
          <cell r="C20" t="str">
            <v>М</v>
          </cell>
          <cell r="D20" t="str">
            <v xml:space="preserve">Диденко </v>
          </cell>
          <cell r="E20" t="str">
            <v>Егор</v>
          </cell>
          <cell r="F20" t="str">
            <v xml:space="preserve">Михайлович </v>
          </cell>
          <cell r="G20">
            <v>38631</v>
          </cell>
          <cell r="H20">
            <v>10</v>
          </cell>
          <cell r="J20">
            <v>29</v>
          </cell>
          <cell r="K20" t="str">
            <v>ПК-33</v>
          </cell>
          <cell r="L20" t="str">
            <v>Россошь Сакура</v>
          </cell>
          <cell r="M20" t="str">
            <v>Басова А.В.</v>
          </cell>
        </row>
        <row r="21">
          <cell r="B21">
            <v>14</v>
          </cell>
          <cell r="C21" t="str">
            <v>М</v>
          </cell>
          <cell r="D21" t="str">
            <v xml:space="preserve">Николаюк </v>
          </cell>
          <cell r="E21" t="str">
            <v>Артём</v>
          </cell>
          <cell r="F21" t="str">
            <v>Олегович</v>
          </cell>
          <cell r="G21">
            <v>38606</v>
          </cell>
          <cell r="H21">
            <v>10</v>
          </cell>
          <cell r="J21">
            <v>31</v>
          </cell>
          <cell r="K21" t="str">
            <v>ПК-33</v>
          </cell>
          <cell r="L21" t="str">
            <v>Россошь Сакура</v>
          </cell>
          <cell r="M21" t="str">
            <v>Басова А.В.</v>
          </cell>
        </row>
        <row r="22">
          <cell r="B22">
            <v>15</v>
          </cell>
          <cell r="C22" t="str">
            <v>М</v>
          </cell>
          <cell r="D22" t="str">
            <v xml:space="preserve">Плетнёв </v>
          </cell>
          <cell r="E22" t="str">
            <v>Кирилл</v>
          </cell>
          <cell r="F22" t="str">
            <v>Михайлович</v>
          </cell>
          <cell r="G22">
            <v>38194</v>
          </cell>
          <cell r="H22">
            <v>11</v>
          </cell>
          <cell r="J22">
            <v>33</v>
          </cell>
          <cell r="K22" t="str">
            <v>ПК-33</v>
          </cell>
          <cell r="L22" t="str">
            <v>Россошь Сакура</v>
          </cell>
          <cell r="M22" t="str">
            <v>Басова А.В.</v>
          </cell>
        </row>
        <row r="23">
          <cell r="B23">
            <v>16</v>
          </cell>
          <cell r="C23" t="str">
            <v>М</v>
          </cell>
          <cell r="D23" t="str">
            <v xml:space="preserve">Мелехин </v>
          </cell>
          <cell r="E23" t="str">
            <v>Руслан</v>
          </cell>
          <cell r="F23" t="str">
            <v>Олегович</v>
          </cell>
          <cell r="G23">
            <v>38506</v>
          </cell>
          <cell r="H23">
            <v>10</v>
          </cell>
          <cell r="I23">
            <v>6</v>
          </cell>
          <cell r="J23">
            <v>28</v>
          </cell>
          <cell r="K23" t="str">
            <v>ПК-33</v>
          </cell>
          <cell r="L23" t="str">
            <v>Тамбовская обл</v>
          </cell>
          <cell r="M23" t="str">
            <v>Айриян А.И.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 xml:space="preserve">Дубищев </v>
          </cell>
          <cell r="E8" t="str">
            <v>Даниил</v>
          </cell>
          <cell r="F8" t="str">
            <v>Дмитриевич</v>
          </cell>
          <cell r="G8">
            <v>38264</v>
          </cell>
          <cell r="H8">
            <v>11</v>
          </cell>
          <cell r="I8">
            <v>7</v>
          </cell>
          <cell r="J8">
            <v>36</v>
          </cell>
          <cell r="K8" t="str">
            <v>ПК 37</v>
          </cell>
          <cell r="L8" t="str">
            <v>Елец</v>
          </cell>
          <cell r="M8" t="str">
            <v>Акопян А.В.</v>
          </cell>
        </row>
        <row r="9">
          <cell r="B9">
            <v>2</v>
          </cell>
          <cell r="C9" t="str">
            <v>М</v>
          </cell>
          <cell r="D9" t="str">
            <v xml:space="preserve">Саввин </v>
          </cell>
          <cell r="E9" t="str">
            <v>Сергей</v>
          </cell>
          <cell r="F9" t="str">
            <v>Алексеевич</v>
          </cell>
          <cell r="G9">
            <v>38644</v>
          </cell>
          <cell r="H9">
            <v>10</v>
          </cell>
          <cell r="I9">
            <v>7</v>
          </cell>
          <cell r="J9">
            <v>34</v>
          </cell>
          <cell r="K9" t="str">
            <v>ПК 37</v>
          </cell>
          <cell r="L9" t="str">
            <v>Елец</v>
          </cell>
          <cell r="M9" t="str">
            <v>Акопян А.В.</v>
          </cell>
        </row>
        <row r="10">
          <cell r="B10">
            <v>3</v>
          </cell>
          <cell r="C10" t="str">
            <v>М</v>
          </cell>
          <cell r="D10" t="str">
            <v>Кобзарь</v>
          </cell>
          <cell r="E10" t="str">
            <v>Кирилл</v>
          </cell>
          <cell r="F10" t="str">
            <v>Викторович</v>
          </cell>
          <cell r="G10">
            <v>38404</v>
          </cell>
          <cell r="H10">
            <v>10</v>
          </cell>
          <cell r="I10">
            <v>8</v>
          </cell>
          <cell r="J10">
            <v>35</v>
          </cell>
          <cell r="K10" t="str">
            <v>ПК 37</v>
          </cell>
          <cell r="L10" t="str">
            <v>Елец</v>
          </cell>
          <cell r="M10" t="str">
            <v>Фомин Ю.Ю.</v>
          </cell>
        </row>
        <row r="11">
          <cell r="B11">
            <v>4</v>
          </cell>
          <cell r="C11" t="str">
            <v>М</v>
          </cell>
          <cell r="D11" t="str">
            <v>Кенарев</v>
          </cell>
          <cell r="E11" t="str">
            <v>Антон</v>
          </cell>
          <cell r="F11" t="str">
            <v>Геннадиевич</v>
          </cell>
          <cell r="G11">
            <v>38588</v>
          </cell>
          <cell r="H11">
            <v>10</v>
          </cell>
          <cell r="I11">
            <v>8</v>
          </cell>
          <cell r="J11">
            <v>35</v>
          </cell>
          <cell r="K11" t="str">
            <v>ПК 37</v>
          </cell>
          <cell r="L11" t="str">
            <v>Елец</v>
          </cell>
          <cell r="M11" t="str">
            <v>Фомин Ю.Ю.</v>
          </cell>
        </row>
        <row r="12">
          <cell r="B12">
            <v>5</v>
          </cell>
          <cell r="C12" t="str">
            <v>М</v>
          </cell>
          <cell r="D12" t="str">
            <v xml:space="preserve">Чистяков </v>
          </cell>
          <cell r="E12" t="str">
            <v>Евгений</v>
          </cell>
          <cell r="F12" t="str">
            <v>Станиславович</v>
          </cell>
          <cell r="G12">
            <v>38710</v>
          </cell>
          <cell r="H12">
            <v>10</v>
          </cell>
          <cell r="I12">
            <v>10</v>
          </cell>
          <cell r="J12">
            <v>36</v>
          </cell>
          <cell r="K12" t="str">
            <v>ПК 37</v>
          </cell>
          <cell r="L12" t="str">
            <v>Елец</v>
          </cell>
          <cell r="M12" t="str">
            <v>Акопян А.В</v>
          </cell>
        </row>
        <row r="13">
          <cell r="B13">
            <v>6</v>
          </cell>
          <cell r="C13" t="str">
            <v>М</v>
          </cell>
          <cell r="D13" t="str">
            <v xml:space="preserve">Дрякин </v>
          </cell>
          <cell r="E13" t="str">
            <v>Денис</v>
          </cell>
          <cell r="H13">
            <v>10</v>
          </cell>
          <cell r="I13">
            <v>10</v>
          </cell>
          <cell r="J13">
            <v>34</v>
          </cell>
          <cell r="K13" t="str">
            <v>ПК 37</v>
          </cell>
          <cell r="L13" t="str">
            <v>Елец</v>
          </cell>
          <cell r="M13" t="str">
            <v>Акопян А.В.</v>
          </cell>
        </row>
        <row r="14">
          <cell r="B14">
            <v>7</v>
          </cell>
          <cell r="C14" t="str">
            <v>М</v>
          </cell>
          <cell r="D14" t="str">
            <v xml:space="preserve">Богданов </v>
          </cell>
          <cell r="E14" t="str">
            <v>Кирилл</v>
          </cell>
          <cell r="F14" t="str">
            <v>Вадимович</v>
          </cell>
          <cell r="G14">
            <v>38544</v>
          </cell>
          <cell r="H14">
            <v>10</v>
          </cell>
          <cell r="I14">
            <v>9</v>
          </cell>
          <cell r="J14">
            <v>37</v>
          </cell>
          <cell r="K14" t="str">
            <v>ПК 37</v>
          </cell>
          <cell r="L14" t="str">
            <v>Елец</v>
          </cell>
          <cell r="M14" t="str">
            <v>Сальков П.С.</v>
          </cell>
        </row>
        <row r="15">
          <cell r="B15">
            <v>8</v>
          </cell>
          <cell r="C15" t="str">
            <v>М</v>
          </cell>
          <cell r="D15" t="str">
            <v>Кривоносов</v>
          </cell>
          <cell r="E15" t="str">
            <v>Данил</v>
          </cell>
          <cell r="F15" t="str">
            <v>Викторович</v>
          </cell>
          <cell r="G15">
            <v>38199</v>
          </cell>
          <cell r="H15">
            <v>11</v>
          </cell>
          <cell r="I15">
            <v>7</v>
          </cell>
          <cell r="J15">
            <v>35</v>
          </cell>
          <cell r="K15" t="str">
            <v>ПК 37</v>
          </cell>
          <cell r="L15" t="str">
            <v>Липецк IKO</v>
          </cell>
          <cell r="M15" t="str">
            <v>Горбунов А.С.</v>
          </cell>
        </row>
        <row r="16">
          <cell r="B16">
            <v>9</v>
          </cell>
          <cell r="C16" t="str">
            <v>М</v>
          </cell>
          <cell r="D16" t="str">
            <v>Коровкин</v>
          </cell>
          <cell r="E16" t="str">
            <v>Андрей</v>
          </cell>
          <cell r="F16" t="str">
            <v>Иванович</v>
          </cell>
          <cell r="G16">
            <v>38145</v>
          </cell>
          <cell r="H16">
            <v>11</v>
          </cell>
          <cell r="I16">
            <v>6</v>
          </cell>
          <cell r="J16">
            <v>36</v>
          </cell>
          <cell r="K16" t="str">
            <v>ПК 37</v>
          </cell>
          <cell r="L16" t="str">
            <v>Липецк IKO</v>
          </cell>
          <cell r="M16" t="str">
            <v>Горбунов А.С</v>
          </cell>
        </row>
        <row r="17">
          <cell r="B17">
            <v>10</v>
          </cell>
          <cell r="C17" t="str">
            <v>М</v>
          </cell>
          <cell r="D17" t="str">
            <v>Слукин</v>
          </cell>
          <cell r="E17" t="str">
            <v>Владислав</v>
          </cell>
          <cell r="F17" t="str">
            <v>Алексеевич</v>
          </cell>
          <cell r="G17">
            <v>38777</v>
          </cell>
          <cell r="H17">
            <v>10</v>
          </cell>
          <cell r="I17">
            <v>9</v>
          </cell>
          <cell r="J17">
            <v>37</v>
          </cell>
          <cell r="K17" t="str">
            <v>ПК 37</v>
          </cell>
          <cell r="L17" t="str">
            <v>Липецк IKO</v>
          </cell>
          <cell r="M17" t="str">
            <v>Горбунов А.С.</v>
          </cell>
        </row>
        <row r="18">
          <cell r="B18">
            <v>11</v>
          </cell>
          <cell r="C18" t="str">
            <v>М</v>
          </cell>
          <cell r="D18" t="str">
            <v>Соломахин</v>
          </cell>
          <cell r="E18" t="str">
            <v>Максим</v>
          </cell>
          <cell r="F18" t="str">
            <v>Дмитриевич</v>
          </cell>
          <cell r="G18">
            <v>38345</v>
          </cell>
          <cell r="H18">
            <v>11</v>
          </cell>
          <cell r="I18">
            <v>6</v>
          </cell>
          <cell r="J18">
            <v>34</v>
          </cell>
          <cell r="K18" t="str">
            <v>ПК 37</v>
          </cell>
          <cell r="L18" t="str">
            <v>Липецк KAN</v>
          </cell>
          <cell r="M18" t="str">
            <v>Цуканов А.С.</v>
          </cell>
        </row>
        <row r="19">
          <cell r="B19">
            <v>12</v>
          </cell>
          <cell r="C19" t="str">
            <v>М</v>
          </cell>
          <cell r="D19" t="str">
            <v>Болдырев</v>
          </cell>
          <cell r="E19" t="str">
            <v>Максим</v>
          </cell>
          <cell r="F19" t="str">
            <v>Анатольевич</v>
          </cell>
          <cell r="G19">
            <v>38211</v>
          </cell>
          <cell r="H19">
            <v>11</v>
          </cell>
          <cell r="I19">
            <v>6</v>
          </cell>
          <cell r="J19">
            <v>34</v>
          </cell>
          <cell r="K19" t="str">
            <v>ПК 37</v>
          </cell>
          <cell r="L19" t="str">
            <v>Липецк KAN</v>
          </cell>
          <cell r="M19" t="str">
            <v>Цуканов А.С.</v>
          </cell>
        </row>
        <row r="20">
          <cell r="B20">
            <v>13</v>
          </cell>
          <cell r="C20" t="str">
            <v>М</v>
          </cell>
          <cell r="D20" t="str">
            <v>Панасюк</v>
          </cell>
          <cell r="E20" t="str">
            <v>Алексей</v>
          </cell>
          <cell r="F20" t="str">
            <v>Вячеславович</v>
          </cell>
          <cell r="G20">
            <v>38331</v>
          </cell>
          <cell r="H20">
            <v>11</v>
          </cell>
          <cell r="I20" t="str">
            <v>8 кю</v>
          </cell>
          <cell r="J20">
            <v>35</v>
          </cell>
          <cell r="K20" t="str">
            <v>ПК 37</v>
          </cell>
          <cell r="L20" t="str">
            <v>Москва</v>
          </cell>
          <cell r="M20" t="str">
            <v>Анаян О.Г.</v>
          </cell>
        </row>
        <row r="21">
          <cell r="B21">
            <v>14</v>
          </cell>
          <cell r="C21" t="str">
            <v>М</v>
          </cell>
          <cell r="D21" t="str">
            <v>Майстренко</v>
          </cell>
          <cell r="E21" t="str">
            <v>Марат</v>
          </cell>
          <cell r="F21" t="str">
            <v>Алексеевич</v>
          </cell>
          <cell r="G21">
            <v>38139</v>
          </cell>
          <cell r="H21">
            <v>11</v>
          </cell>
          <cell r="I21">
            <v>8</v>
          </cell>
          <cell r="J21">
            <v>36</v>
          </cell>
          <cell r="K21" t="str">
            <v>ПК 37</v>
          </cell>
          <cell r="L21" t="str">
            <v>Москва</v>
          </cell>
          <cell r="M21" t="str">
            <v>Конышев С.В.</v>
          </cell>
        </row>
        <row r="22">
          <cell r="B22">
            <v>15</v>
          </cell>
          <cell r="C22" t="str">
            <v>М</v>
          </cell>
          <cell r="D22" t="str">
            <v>Любитский</v>
          </cell>
          <cell r="E22" t="str">
            <v>Александр</v>
          </cell>
          <cell r="F22" t="str">
            <v>Викторович</v>
          </cell>
          <cell r="G22">
            <v>38202</v>
          </cell>
          <cell r="H22">
            <v>11</v>
          </cell>
          <cell r="I22">
            <v>10</v>
          </cell>
          <cell r="J22">
            <v>34</v>
          </cell>
          <cell r="K22" t="str">
            <v>ПК 37</v>
          </cell>
          <cell r="L22" t="str">
            <v>Россошь с\к Химик</v>
          </cell>
          <cell r="M22" t="str">
            <v>Шилов Р.И.</v>
          </cell>
        </row>
        <row r="23">
          <cell r="B23">
            <v>16</v>
          </cell>
          <cell r="C23" t="str">
            <v>М</v>
          </cell>
          <cell r="D23" t="str">
            <v xml:space="preserve">Бокарев </v>
          </cell>
          <cell r="E23" t="str">
            <v xml:space="preserve">Александр </v>
          </cell>
          <cell r="F23" t="str">
            <v>Николаевич</v>
          </cell>
          <cell r="G23">
            <v>38130</v>
          </cell>
          <cell r="H23">
            <v>11</v>
          </cell>
          <cell r="I23">
            <v>9</v>
          </cell>
          <cell r="J23">
            <v>34</v>
          </cell>
          <cell r="K23" t="str">
            <v>ПК 37</v>
          </cell>
          <cell r="L23" t="str">
            <v>Тамбовская обл</v>
          </cell>
          <cell r="M23" t="str">
            <v>Семишова Н.Н.</v>
          </cell>
        </row>
        <row r="24">
          <cell r="B24">
            <v>17</v>
          </cell>
          <cell r="C24" t="str">
            <v>М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 xml:space="preserve">Федюнин </v>
          </cell>
          <cell r="E8" t="str">
            <v>Максим</v>
          </cell>
          <cell r="F8" t="str">
            <v>Павлович</v>
          </cell>
          <cell r="G8">
            <v>38556</v>
          </cell>
          <cell r="H8">
            <v>10</v>
          </cell>
          <cell r="I8">
            <v>8</v>
          </cell>
          <cell r="J8">
            <v>43</v>
          </cell>
          <cell r="K8" t="str">
            <v>ПК45</v>
          </cell>
          <cell r="L8" t="str">
            <v>Воронеж</v>
          </cell>
          <cell r="M8" t="str">
            <v>Хрепко В.А.</v>
          </cell>
        </row>
        <row r="9">
          <cell r="B9">
            <v>2</v>
          </cell>
          <cell r="C9" t="str">
            <v>М</v>
          </cell>
          <cell r="D9" t="str">
            <v xml:space="preserve">Аксёнов </v>
          </cell>
          <cell r="E9" t="str">
            <v>Артем</v>
          </cell>
          <cell r="F9" t="str">
            <v>Русланович</v>
          </cell>
          <cell r="G9">
            <v>38154</v>
          </cell>
          <cell r="H9">
            <v>11</v>
          </cell>
          <cell r="I9">
            <v>10</v>
          </cell>
          <cell r="J9">
            <v>38</v>
          </cell>
          <cell r="K9" t="str">
            <v>ПК45</v>
          </cell>
          <cell r="L9" t="str">
            <v>Елец</v>
          </cell>
          <cell r="M9" t="str">
            <v>Акопян А.В.</v>
          </cell>
        </row>
        <row r="10">
          <cell r="B10">
            <v>3</v>
          </cell>
          <cell r="C10" t="str">
            <v>М</v>
          </cell>
          <cell r="D10" t="str">
            <v xml:space="preserve">Котов </v>
          </cell>
          <cell r="E10" t="str">
            <v>Александр</v>
          </cell>
          <cell r="F10" t="str">
            <v>Михаилович</v>
          </cell>
          <cell r="G10">
            <v>38530</v>
          </cell>
          <cell r="H10">
            <v>10</v>
          </cell>
          <cell r="I10">
            <v>7</v>
          </cell>
          <cell r="J10">
            <v>40</v>
          </cell>
          <cell r="K10" t="str">
            <v>ПК45</v>
          </cell>
          <cell r="L10" t="str">
            <v>Елец</v>
          </cell>
          <cell r="M10" t="str">
            <v>Акопян А.В.</v>
          </cell>
        </row>
        <row r="11">
          <cell r="B11">
            <v>4</v>
          </cell>
          <cell r="C11" t="str">
            <v>М</v>
          </cell>
          <cell r="D11" t="str">
            <v>Шатских</v>
          </cell>
          <cell r="E11" t="str">
            <v>Григорий</v>
          </cell>
          <cell r="F11" t="str">
            <v>Владимирович</v>
          </cell>
          <cell r="G11">
            <v>38352</v>
          </cell>
          <cell r="H11">
            <v>11</v>
          </cell>
          <cell r="I11">
            <v>5</v>
          </cell>
          <cell r="J11">
            <v>42</v>
          </cell>
          <cell r="K11" t="str">
            <v>ПК45</v>
          </cell>
          <cell r="L11" t="str">
            <v>Задонск</v>
          </cell>
          <cell r="M11" t="str">
            <v>Лобеев А.А.</v>
          </cell>
        </row>
        <row r="12">
          <cell r="B12">
            <v>5</v>
          </cell>
          <cell r="C12" t="str">
            <v>М</v>
          </cell>
          <cell r="D12" t="str">
            <v xml:space="preserve">Шкатов </v>
          </cell>
          <cell r="E12" t="str">
            <v xml:space="preserve">Юрий </v>
          </cell>
          <cell r="F12" t="str">
            <v>Алексеевич</v>
          </cell>
          <cell r="G12">
            <v>38081</v>
          </cell>
          <cell r="H12">
            <v>11</v>
          </cell>
          <cell r="I12">
            <v>6</v>
          </cell>
          <cell r="J12">
            <v>43</v>
          </cell>
          <cell r="K12" t="str">
            <v>ПК45</v>
          </cell>
          <cell r="L12" t="str">
            <v>Липецк IKO</v>
          </cell>
          <cell r="M12" t="str">
            <v>Бедоян В.Г</v>
          </cell>
        </row>
        <row r="13">
          <cell r="B13">
            <v>6</v>
          </cell>
          <cell r="C13" t="str">
            <v>М</v>
          </cell>
          <cell r="D13" t="str">
            <v>Савин</v>
          </cell>
          <cell r="E13" t="str">
            <v>Дмитрий</v>
          </cell>
          <cell r="F13" t="str">
            <v>Алексеевич</v>
          </cell>
          <cell r="G13">
            <v>38371</v>
          </cell>
          <cell r="H13">
            <v>11</v>
          </cell>
          <cell r="I13">
            <v>8</v>
          </cell>
          <cell r="J13">
            <v>43.2</v>
          </cell>
          <cell r="K13" t="str">
            <v>ПК45</v>
          </cell>
          <cell r="L13" t="str">
            <v>Липецк KAN</v>
          </cell>
          <cell r="M13" t="str">
            <v>Цуканов А.С.</v>
          </cell>
        </row>
        <row r="14">
          <cell r="B14">
            <v>7</v>
          </cell>
          <cell r="C14" t="str">
            <v>М</v>
          </cell>
          <cell r="D14" t="str">
            <v>Герасимов</v>
          </cell>
          <cell r="E14" t="str">
            <v>Антон</v>
          </cell>
          <cell r="F14" t="str">
            <v>Геннадьевич</v>
          </cell>
          <cell r="G14">
            <v>38686</v>
          </cell>
          <cell r="H14">
            <v>10</v>
          </cell>
          <cell r="I14">
            <v>9</v>
          </cell>
          <cell r="J14">
            <v>43</v>
          </cell>
          <cell r="K14" t="str">
            <v>ПК45</v>
          </cell>
          <cell r="L14" t="str">
            <v>Липецк Годзю-рю</v>
          </cell>
          <cell r="M14" t="str">
            <v>Николаев Э.Б.</v>
          </cell>
        </row>
        <row r="15">
          <cell r="B15">
            <v>8</v>
          </cell>
          <cell r="C15" t="str">
            <v>М</v>
          </cell>
          <cell r="D15" t="str">
            <v>Рыжков</v>
          </cell>
          <cell r="E15" t="str">
            <v>Алексей</v>
          </cell>
          <cell r="F15" t="str">
            <v>Иванович</v>
          </cell>
          <cell r="G15">
            <v>38442</v>
          </cell>
          <cell r="H15">
            <v>10</v>
          </cell>
          <cell r="I15">
            <v>7</v>
          </cell>
          <cell r="J15">
            <v>38.5</v>
          </cell>
          <cell r="K15" t="str">
            <v>ПК45</v>
          </cell>
          <cell r="L15" t="str">
            <v>Тамбовская обл</v>
          </cell>
          <cell r="M15" t="str">
            <v>Айриян А.И.</v>
          </cell>
        </row>
        <row r="16">
          <cell r="B16">
            <v>9</v>
          </cell>
          <cell r="C16" t="str">
            <v>М</v>
          </cell>
          <cell r="D16" t="str">
            <v>Помыканов</v>
          </cell>
          <cell r="E16" t="str">
            <v>Данил</v>
          </cell>
          <cell r="F16" t="str">
            <v xml:space="preserve">Артемович </v>
          </cell>
          <cell r="G16">
            <v>38329</v>
          </cell>
          <cell r="H16">
            <v>11</v>
          </cell>
          <cell r="I16">
            <v>9</v>
          </cell>
          <cell r="J16">
            <v>44</v>
          </cell>
          <cell r="K16" t="str">
            <v>ПК45</v>
          </cell>
          <cell r="L16" t="str">
            <v>Тамбовская обл</v>
          </cell>
          <cell r="M16" t="str">
            <v>Кузнецова Е.Н.</v>
          </cell>
        </row>
        <row r="17">
          <cell r="B17">
            <v>10</v>
          </cell>
          <cell r="C17" t="str">
            <v>М</v>
          </cell>
          <cell r="D17" t="str">
            <v xml:space="preserve">Вислогузов </v>
          </cell>
          <cell r="E17" t="str">
            <v xml:space="preserve">Артём </v>
          </cell>
          <cell r="F17" t="str">
            <v>Сергеевич</v>
          </cell>
          <cell r="G17">
            <v>38401</v>
          </cell>
          <cell r="H17">
            <v>11</v>
          </cell>
          <cell r="J17">
            <v>39</v>
          </cell>
          <cell r="K17" t="str">
            <v>ПК45</v>
          </cell>
          <cell r="L17" t="str">
            <v>Россошь Сакура</v>
          </cell>
          <cell r="M17" t="str">
            <v>Басова А.В.</v>
          </cell>
        </row>
        <row r="18">
          <cell r="B18">
            <v>11</v>
          </cell>
          <cell r="C18" t="str">
            <v>М</v>
          </cell>
          <cell r="D18" t="str">
            <v xml:space="preserve">Пономарёв </v>
          </cell>
          <cell r="E18" t="str">
            <v>Артём</v>
          </cell>
          <cell r="F18" t="str">
            <v xml:space="preserve">Александрович </v>
          </cell>
          <cell r="G18">
            <v>38083</v>
          </cell>
          <cell r="H18">
            <v>11</v>
          </cell>
          <cell r="J18">
            <v>39</v>
          </cell>
          <cell r="K18" t="str">
            <v>ПК45</v>
          </cell>
          <cell r="L18" t="str">
            <v>Россошь Сакура</v>
          </cell>
          <cell r="M18" t="str">
            <v xml:space="preserve">Басова А.В. </v>
          </cell>
        </row>
        <row r="19">
          <cell r="B19">
            <v>12</v>
          </cell>
          <cell r="C19" t="str">
            <v>М</v>
          </cell>
          <cell r="D19" t="str">
            <v xml:space="preserve">Меньшиков </v>
          </cell>
          <cell r="E19" t="str">
            <v xml:space="preserve">Михаил </v>
          </cell>
          <cell r="F19" t="str">
            <v>Сергеевич</v>
          </cell>
          <cell r="G19">
            <v>38147</v>
          </cell>
          <cell r="H19">
            <v>11</v>
          </cell>
          <cell r="J19">
            <v>42</v>
          </cell>
          <cell r="K19" t="str">
            <v>ПК45</v>
          </cell>
          <cell r="L19" t="str">
            <v>Россошь Сакура</v>
          </cell>
          <cell r="M19" t="str">
            <v>Басова А.В.</v>
          </cell>
        </row>
        <row r="20">
          <cell r="B20">
            <v>13</v>
          </cell>
          <cell r="C20" t="str">
            <v>М</v>
          </cell>
          <cell r="D20" t="str">
            <v>Ольхов</v>
          </cell>
          <cell r="E20" t="str">
            <v>Борислав</v>
          </cell>
          <cell r="F20" t="str">
            <v>Константинович</v>
          </cell>
          <cell r="G20">
            <v>38794</v>
          </cell>
          <cell r="H20">
            <v>10</v>
          </cell>
          <cell r="I20" t="str">
            <v>8 кю</v>
          </cell>
          <cell r="J20">
            <v>43</v>
          </cell>
          <cell r="K20" t="str">
            <v>ПК45</v>
          </cell>
          <cell r="L20" t="str">
            <v>Москва</v>
          </cell>
          <cell r="M20" t="str">
            <v>Анаян О.Г.</v>
          </cell>
        </row>
        <row r="21">
          <cell r="B21">
            <v>14</v>
          </cell>
          <cell r="C21" t="str">
            <v>М</v>
          </cell>
          <cell r="D21" t="str">
            <v>Пажельцев</v>
          </cell>
          <cell r="E21" t="str">
            <v>Захар</v>
          </cell>
          <cell r="F21" t="str">
            <v>Александрович</v>
          </cell>
          <cell r="G21">
            <v>38599</v>
          </cell>
          <cell r="H21">
            <v>10</v>
          </cell>
          <cell r="I21">
            <v>6</v>
          </cell>
          <cell r="J21">
            <v>38</v>
          </cell>
          <cell r="K21" t="str">
            <v>ПК45</v>
          </cell>
          <cell r="L21" t="str">
            <v>Москва</v>
          </cell>
          <cell r="M21" t="str">
            <v>Топоркова О.В.</v>
          </cell>
        </row>
        <row r="22">
          <cell r="B22">
            <v>15</v>
          </cell>
          <cell r="C22" t="str">
            <v>М</v>
          </cell>
          <cell r="D22" t="str">
            <v xml:space="preserve">Толстов </v>
          </cell>
          <cell r="E22" t="str">
            <v>Даниил</v>
          </cell>
          <cell r="F22" t="str">
            <v>Дмитриевич</v>
          </cell>
          <cell r="G22">
            <v>38307</v>
          </cell>
          <cell r="H22">
            <v>11</v>
          </cell>
          <cell r="I22">
            <v>5</v>
          </cell>
          <cell r="J22">
            <v>40</v>
          </cell>
          <cell r="K22" t="str">
            <v>ПК45</v>
          </cell>
          <cell r="L22" t="str">
            <v>Тамбовская обл</v>
          </cell>
          <cell r="M22" t="str">
            <v>Айриян А.И.</v>
          </cell>
        </row>
        <row r="23">
          <cell r="B23">
            <v>16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Ол8"/>
      <sheetName val="Ол16"/>
      <sheetName val="Ол32"/>
      <sheetName val="Ол64"/>
      <sheetName val="Ката-8"/>
      <sheetName val="Ката-16"/>
      <sheetName val="Ката-32"/>
      <sheetName val="Ката-64"/>
      <sheetName val="Итоговый"/>
    </sheetNames>
    <sheetDataSet>
      <sheetData sheetId="0">
        <row r="7">
          <cell r="B7" t="str">
            <v>№ жреб.</v>
          </cell>
          <cell r="C7" t="str">
            <v>пол</v>
          </cell>
          <cell r="D7" t="str">
            <v>Фамилия</v>
          </cell>
          <cell r="E7" t="str">
            <v>Имя</v>
          </cell>
          <cell r="F7" t="str">
            <v>Отчество</v>
          </cell>
          <cell r="G7" t="str">
            <v>Дата рождения</v>
          </cell>
          <cell r="H7" t="str">
            <v>Полных лет</v>
          </cell>
          <cell r="I7" t="str">
            <v>Разряд, звание</v>
          </cell>
          <cell r="J7" t="str">
            <v>Точный вес</v>
          </cell>
          <cell r="K7" t="str">
            <v>Вид программы</v>
          </cell>
          <cell r="L7" t="str">
            <v>Регион</v>
          </cell>
          <cell r="M7" t="str">
            <v>Тренер</v>
          </cell>
        </row>
        <row r="8">
          <cell r="B8">
            <v>1</v>
          </cell>
          <cell r="C8" t="str">
            <v>М</v>
          </cell>
          <cell r="D8" t="str">
            <v xml:space="preserve">Кураев </v>
          </cell>
          <cell r="E8" t="str">
            <v>Даниил</v>
          </cell>
          <cell r="F8" t="str">
            <v>Олегович</v>
          </cell>
          <cell r="G8">
            <v>38533</v>
          </cell>
          <cell r="H8">
            <v>10</v>
          </cell>
          <cell r="I8">
            <v>10</v>
          </cell>
          <cell r="J8">
            <v>48</v>
          </cell>
          <cell r="K8" t="str">
            <v>ПК 45 +</v>
          </cell>
          <cell r="L8" t="str">
            <v>Елец</v>
          </cell>
          <cell r="M8" t="str">
            <v>Акопян А.В</v>
          </cell>
        </row>
        <row r="9">
          <cell r="B9">
            <v>2</v>
          </cell>
          <cell r="C9" t="str">
            <v>М</v>
          </cell>
          <cell r="D9" t="str">
            <v xml:space="preserve">Алисов </v>
          </cell>
          <cell r="E9" t="str">
            <v>Даниил</v>
          </cell>
          <cell r="F9" t="str">
            <v>Сергеевич</v>
          </cell>
          <cell r="G9">
            <v>38736</v>
          </cell>
          <cell r="H9">
            <v>10</v>
          </cell>
          <cell r="I9">
            <v>10</v>
          </cell>
          <cell r="J9">
            <v>46</v>
          </cell>
          <cell r="K9" t="str">
            <v>ПК 45 +</v>
          </cell>
          <cell r="L9" t="str">
            <v>Елец</v>
          </cell>
          <cell r="M9" t="str">
            <v>Акопян А.В</v>
          </cell>
        </row>
        <row r="10">
          <cell r="B10">
            <v>3</v>
          </cell>
          <cell r="C10" t="str">
            <v>М</v>
          </cell>
          <cell r="D10" t="str">
            <v xml:space="preserve">Чудан </v>
          </cell>
          <cell r="E10" t="str">
            <v>Богдан</v>
          </cell>
          <cell r="F10" t="str">
            <v>Романович</v>
          </cell>
          <cell r="G10">
            <v>38578</v>
          </cell>
          <cell r="H10">
            <v>11</v>
          </cell>
          <cell r="I10">
            <v>9</v>
          </cell>
          <cell r="J10">
            <v>52</v>
          </cell>
          <cell r="K10" t="str">
            <v>ПК 45 +</v>
          </cell>
          <cell r="L10" t="str">
            <v>Елец</v>
          </cell>
          <cell r="M10" t="str">
            <v>Акопян А.В.</v>
          </cell>
        </row>
        <row r="11">
          <cell r="B11">
            <v>4</v>
          </cell>
          <cell r="C11" t="str">
            <v>М</v>
          </cell>
          <cell r="D11" t="str">
            <v>Меринов</v>
          </cell>
          <cell r="E11" t="str">
            <v>Георгий</v>
          </cell>
          <cell r="F11" t="str">
            <v>Сергеевич</v>
          </cell>
          <cell r="G11">
            <v>38363</v>
          </cell>
          <cell r="H11">
            <v>11</v>
          </cell>
          <cell r="I11">
            <v>10</v>
          </cell>
          <cell r="J11">
            <v>50</v>
          </cell>
          <cell r="K11" t="str">
            <v>ПК 45 +</v>
          </cell>
          <cell r="L11" t="str">
            <v>Грязи</v>
          </cell>
          <cell r="M11" t="str">
            <v>Моисеев И.Н.</v>
          </cell>
        </row>
        <row r="12">
          <cell r="B12">
            <v>5</v>
          </cell>
          <cell r="C12" t="str">
            <v>М</v>
          </cell>
          <cell r="D12" t="str">
            <v>Муньков</v>
          </cell>
          <cell r="E12" t="str">
            <v>Александр</v>
          </cell>
          <cell r="F12" t="str">
            <v>Дмитриевич</v>
          </cell>
          <cell r="G12">
            <v>38083</v>
          </cell>
          <cell r="H12">
            <v>11</v>
          </cell>
          <cell r="I12">
            <v>10</v>
          </cell>
          <cell r="J12">
            <v>62</v>
          </cell>
          <cell r="K12" t="str">
            <v>ПК 45 +</v>
          </cell>
          <cell r="L12" t="str">
            <v>Грязи</v>
          </cell>
          <cell r="M12" t="str">
            <v>Моисеев И.Н.</v>
          </cell>
        </row>
        <row r="13">
          <cell r="B13">
            <v>6</v>
          </cell>
          <cell r="C13" t="str">
            <v>М</v>
          </cell>
          <cell r="D13" t="str">
            <v>Чернухин</v>
          </cell>
          <cell r="E13" t="str">
            <v>Кирилл</v>
          </cell>
          <cell r="F13" t="str">
            <v>Сергеевич</v>
          </cell>
          <cell r="G13">
            <v>38327</v>
          </cell>
          <cell r="H13">
            <v>11</v>
          </cell>
          <cell r="I13">
            <v>7</v>
          </cell>
          <cell r="J13">
            <v>54</v>
          </cell>
          <cell r="K13" t="str">
            <v>ПК 45 +</v>
          </cell>
          <cell r="L13" t="str">
            <v>Задонск</v>
          </cell>
          <cell r="M13" t="str">
            <v>Лобеев А.А.</v>
          </cell>
        </row>
        <row r="14">
          <cell r="B14">
            <v>7</v>
          </cell>
          <cell r="C14" t="str">
            <v>М</v>
          </cell>
          <cell r="D14" t="str">
            <v xml:space="preserve">Долгов </v>
          </cell>
          <cell r="E14" t="str">
            <v>Роман</v>
          </cell>
          <cell r="F14" t="str">
            <v>Сергеевич</v>
          </cell>
          <cell r="G14">
            <v>38225</v>
          </cell>
          <cell r="H14">
            <v>11</v>
          </cell>
          <cell r="I14">
            <v>9</v>
          </cell>
          <cell r="J14">
            <v>59</v>
          </cell>
          <cell r="K14" t="str">
            <v>ПК 45 +</v>
          </cell>
          <cell r="L14" t="str">
            <v>Липецк IKO</v>
          </cell>
          <cell r="M14" t="str">
            <v>Бедоян В.Г</v>
          </cell>
        </row>
        <row r="15">
          <cell r="B15">
            <v>8</v>
          </cell>
          <cell r="C15" t="str">
            <v>М</v>
          </cell>
          <cell r="D15" t="str">
            <v>Черных</v>
          </cell>
          <cell r="E15" t="str">
            <v>Иван</v>
          </cell>
          <cell r="F15" t="str">
            <v>Александрович</v>
          </cell>
          <cell r="G15">
            <v>38163</v>
          </cell>
          <cell r="H15">
            <v>11</v>
          </cell>
          <cell r="I15">
            <v>8</v>
          </cell>
          <cell r="J15">
            <v>49</v>
          </cell>
          <cell r="K15" t="str">
            <v>ПК 45 +</v>
          </cell>
          <cell r="L15" t="str">
            <v>Липецк IKO</v>
          </cell>
          <cell r="M15" t="str">
            <v>Горбунов А.С.</v>
          </cell>
        </row>
        <row r="16">
          <cell r="B16">
            <v>9</v>
          </cell>
          <cell r="C16" t="str">
            <v>М</v>
          </cell>
          <cell r="D16" t="str">
            <v>Бедоян</v>
          </cell>
          <cell r="E16" t="str">
            <v>Лев</v>
          </cell>
          <cell r="F16" t="str">
            <v>Владимирович</v>
          </cell>
          <cell r="G16">
            <v>38669</v>
          </cell>
          <cell r="H16">
            <v>10</v>
          </cell>
          <cell r="J16">
            <v>51</v>
          </cell>
          <cell r="K16" t="str">
            <v>ПК</v>
          </cell>
          <cell r="L16" t="str">
            <v>Липецк IKO</v>
          </cell>
          <cell r="M16" t="str">
            <v>Бедоян В.Г</v>
          </cell>
        </row>
        <row r="17">
          <cell r="B17">
            <v>10</v>
          </cell>
          <cell r="C17" t="str">
            <v>М</v>
          </cell>
        </row>
        <row r="18">
          <cell r="B18">
            <v>11</v>
          </cell>
          <cell r="C18" t="str">
            <v>М</v>
          </cell>
        </row>
        <row r="19">
          <cell r="B19">
            <v>12</v>
          </cell>
          <cell r="C19" t="str">
            <v>М</v>
          </cell>
        </row>
        <row r="20">
          <cell r="B20">
            <v>13</v>
          </cell>
          <cell r="C20" t="str">
            <v>М</v>
          </cell>
        </row>
        <row r="21">
          <cell r="B21">
            <v>14</v>
          </cell>
          <cell r="C21" t="str">
            <v>М</v>
          </cell>
        </row>
        <row r="22">
          <cell r="B22">
            <v>15</v>
          </cell>
          <cell r="C22" t="str">
            <v>М</v>
          </cell>
        </row>
        <row r="23">
          <cell r="B23">
            <v>16</v>
          </cell>
          <cell r="C23" t="str">
            <v>М</v>
          </cell>
        </row>
        <row r="24">
          <cell r="B24">
            <v>17</v>
          </cell>
        </row>
        <row r="25">
          <cell r="B25">
            <v>18</v>
          </cell>
        </row>
        <row r="26">
          <cell r="B26">
            <v>19</v>
          </cell>
        </row>
        <row r="27">
          <cell r="B27">
            <v>20</v>
          </cell>
        </row>
        <row r="28">
          <cell r="B28">
            <v>21</v>
          </cell>
        </row>
        <row r="29">
          <cell r="B29">
            <v>22</v>
          </cell>
        </row>
        <row r="30">
          <cell r="B30">
            <v>23</v>
          </cell>
        </row>
        <row r="31">
          <cell r="B31">
            <v>24</v>
          </cell>
        </row>
        <row r="32">
          <cell r="B32">
            <v>25</v>
          </cell>
        </row>
        <row r="33">
          <cell r="B33">
            <v>26</v>
          </cell>
        </row>
        <row r="34">
          <cell r="B34">
            <v>27</v>
          </cell>
        </row>
        <row r="35">
          <cell r="B35">
            <v>28</v>
          </cell>
        </row>
        <row r="36">
          <cell r="B36">
            <v>29</v>
          </cell>
        </row>
        <row r="37">
          <cell r="B37">
            <v>30</v>
          </cell>
        </row>
        <row r="38">
          <cell r="B38">
            <v>31</v>
          </cell>
        </row>
        <row r="39">
          <cell r="B39">
            <v>32</v>
          </cell>
        </row>
        <row r="40">
          <cell r="B40">
            <v>33</v>
          </cell>
        </row>
        <row r="41">
          <cell r="B41">
            <v>34</v>
          </cell>
        </row>
        <row r="42">
          <cell r="B42">
            <v>35</v>
          </cell>
        </row>
        <row r="43">
          <cell r="B43">
            <v>36</v>
          </cell>
        </row>
        <row r="44">
          <cell r="B44">
            <v>37</v>
          </cell>
        </row>
        <row r="45">
          <cell r="B45">
            <v>38</v>
          </cell>
        </row>
        <row r="46">
          <cell r="B46">
            <v>39</v>
          </cell>
        </row>
        <row r="47">
          <cell r="B47">
            <v>40</v>
          </cell>
        </row>
        <row r="48">
          <cell r="B48">
            <v>41</v>
          </cell>
        </row>
        <row r="49">
          <cell r="B49">
            <v>42</v>
          </cell>
        </row>
        <row r="50">
          <cell r="B50">
            <v>43</v>
          </cell>
        </row>
        <row r="51">
          <cell r="B51">
            <v>44</v>
          </cell>
        </row>
        <row r="52">
          <cell r="B52">
            <v>45</v>
          </cell>
        </row>
        <row r="53">
          <cell r="B53">
            <v>46</v>
          </cell>
        </row>
        <row r="54">
          <cell r="B54">
            <v>47</v>
          </cell>
        </row>
        <row r="55">
          <cell r="B55">
            <v>48</v>
          </cell>
        </row>
        <row r="56">
          <cell r="B56">
            <v>49</v>
          </cell>
        </row>
        <row r="57">
          <cell r="B57">
            <v>50</v>
          </cell>
        </row>
        <row r="58">
          <cell r="B58">
            <v>51</v>
          </cell>
        </row>
        <row r="59">
          <cell r="B59">
            <v>52</v>
          </cell>
        </row>
        <row r="60">
          <cell r="B60">
            <v>53</v>
          </cell>
        </row>
        <row r="61">
          <cell r="B61">
            <v>54</v>
          </cell>
        </row>
        <row r="62">
          <cell r="B62">
            <v>55</v>
          </cell>
        </row>
        <row r="63">
          <cell r="B63">
            <v>56</v>
          </cell>
        </row>
        <row r="64">
          <cell r="B64">
            <v>57</v>
          </cell>
        </row>
        <row r="65">
          <cell r="B65">
            <v>58</v>
          </cell>
        </row>
        <row r="66">
          <cell r="B66">
            <v>59</v>
          </cell>
        </row>
        <row r="67">
          <cell r="B67">
            <v>60</v>
          </cell>
        </row>
        <row r="68">
          <cell r="B68">
            <v>61</v>
          </cell>
        </row>
        <row r="69">
          <cell r="B69">
            <v>62</v>
          </cell>
        </row>
        <row r="70">
          <cell r="B70">
            <v>63</v>
          </cell>
        </row>
        <row r="71">
          <cell r="B71">
            <v>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3"/>
  <sheetViews>
    <sheetView showZeros="0" topLeftCell="A124" workbookViewId="0">
      <selection activeCell="G167" sqref="G167"/>
    </sheetView>
  </sheetViews>
  <sheetFormatPr defaultRowHeight="12.75"/>
  <cols>
    <col min="1" max="1" width="3.5703125" style="5" bestFit="1" customWidth="1"/>
    <col min="2" max="2" width="4.42578125" style="5" bestFit="1" customWidth="1"/>
    <col min="3" max="3" width="4.7109375" style="5" customWidth="1"/>
    <col min="4" max="4" width="12.7109375" style="5" customWidth="1"/>
    <col min="5" max="5" width="12" style="5" customWidth="1"/>
    <col min="6" max="6" width="14.140625" style="5" customWidth="1"/>
    <col min="7" max="7" width="10.7109375" style="5" customWidth="1"/>
    <col min="8" max="8" width="6.140625" style="5" customWidth="1"/>
    <col min="9" max="9" width="6.85546875" style="5" bestFit="1" customWidth="1"/>
    <col min="10" max="10" width="6.5703125" style="5" customWidth="1"/>
    <col min="11" max="11" width="11.28515625" style="24" customWidth="1"/>
    <col min="12" max="12" width="17.5703125" style="5" customWidth="1"/>
    <col min="13" max="13" width="20" style="5" customWidth="1"/>
    <col min="14" max="16384" width="9.140625" style="5"/>
  </cols>
  <sheetData>
    <row r="1" spans="1:20" s="26" customFormat="1" ht="33.75" customHeight="1">
      <c r="A1" s="259" t="s">
        <v>275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"/>
      <c r="O1" s="25"/>
      <c r="P1" s="25"/>
      <c r="Q1" s="25"/>
      <c r="R1" s="25"/>
      <c r="S1" s="25"/>
      <c r="T1" s="25"/>
    </row>
    <row r="2" spans="1:20">
      <c r="A2" s="260" t="s">
        <v>17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4"/>
      <c r="O2" s="4"/>
      <c r="P2" s="4"/>
      <c r="Q2" s="4"/>
      <c r="R2" s="4"/>
      <c r="S2" s="4"/>
      <c r="T2" s="4"/>
    </row>
    <row r="3" spans="1:20" ht="14.25" customHeight="1">
      <c r="A3" s="261" t="s">
        <v>58</v>
      </c>
      <c r="B3" s="261"/>
      <c r="C3" s="261"/>
      <c r="D3" s="261"/>
      <c r="E3" s="261"/>
      <c r="F3" s="8"/>
      <c r="G3" s="262" t="s">
        <v>37</v>
      </c>
      <c r="H3" s="262"/>
      <c r="I3" s="262"/>
      <c r="J3" s="262"/>
      <c r="K3" s="70"/>
      <c r="L3" s="22">
        <v>42455</v>
      </c>
      <c r="M3" s="22">
        <v>42456</v>
      </c>
      <c r="N3" s="4"/>
      <c r="O3" s="4"/>
      <c r="P3" s="4"/>
      <c r="Q3" s="4"/>
      <c r="R3" s="4"/>
      <c r="S3" s="4"/>
      <c r="T3" s="4"/>
    </row>
    <row r="4" spans="1:20" ht="14.25" customHeight="1">
      <c r="A4" s="263" t="s">
        <v>13</v>
      </c>
      <c r="B4" s="263"/>
      <c r="C4" s="263"/>
      <c r="D4" s="263"/>
      <c r="E4" s="263"/>
      <c r="F4" s="8"/>
      <c r="G4" s="264" t="s">
        <v>15</v>
      </c>
      <c r="H4" s="264"/>
      <c r="I4" s="264"/>
      <c r="J4" s="264"/>
      <c r="K4" s="70"/>
      <c r="L4" s="265" t="s">
        <v>16</v>
      </c>
      <c r="M4" s="265"/>
      <c r="N4" s="4"/>
      <c r="O4" s="4"/>
      <c r="P4" s="4"/>
      <c r="Q4" s="4"/>
      <c r="R4" s="4"/>
      <c r="S4" s="4"/>
      <c r="T4" s="4"/>
    </row>
    <row r="5" spans="1:20" ht="15.75">
      <c r="A5" s="266" t="s">
        <v>25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4"/>
      <c r="O5" s="4"/>
      <c r="P5" s="4"/>
      <c r="Q5" s="4"/>
      <c r="R5" s="4"/>
      <c r="S5" s="4"/>
      <c r="T5" s="4"/>
    </row>
    <row r="6" spans="1:20" ht="0.75" customHeight="1">
      <c r="A6" s="21"/>
      <c r="B6" s="21"/>
      <c r="C6" s="21"/>
      <c r="D6" s="53">
        <f>DCOUNTA(D7:D149,1,D7:D149)</f>
        <v>142</v>
      </c>
      <c r="E6" s="21"/>
      <c r="F6" s="21"/>
      <c r="G6" s="21"/>
      <c r="H6" s="21"/>
      <c r="I6" s="21"/>
      <c r="J6" s="21"/>
      <c r="K6" s="71"/>
      <c r="L6" s="21"/>
      <c r="M6" s="21"/>
      <c r="N6" s="4"/>
      <c r="O6" s="4"/>
      <c r="P6" s="4"/>
      <c r="Q6" s="4"/>
      <c r="R6" s="4"/>
      <c r="S6" s="4"/>
      <c r="T6" s="4"/>
    </row>
    <row r="7" spans="1:20" s="24" customFormat="1" ht="25.5" customHeight="1" thickBot="1">
      <c r="A7" s="27" t="s">
        <v>32</v>
      </c>
      <c r="B7" s="27" t="s">
        <v>14</v>
      </c>
      <c r="C7" s="27" t="s">
        <v>9</v>
      </c>
      <c r="D7" s="27" t="s">
        <v>10</v>
      </c>
      <c r="E7" s="27" t="s">
        <v>11</v>
      </c>
      <c r="F7" s="27" t="s">
        <v>12</v>
      </c>
      <c r="G7" s="27" t="s">
        <v>19</v>
      </c>
      <c r="H7" s="52" t="s">
        <v>20</v>
      </c>
      <c r="I7" s="27" t="s">
        <v>21</v>
      </c>
      <c r="J7" s="27" t="s">
        <v>18</v>
      </c>
      <c r="K7" s="27" t="s">
        <v>22</v>
      </c>
      <c r="L7" s="27" t="s">
        <v>23</v>
      </c>
      <c r="M7" s="27" t="s">
        <v>24</v>
      </c>
    </row>
    <row r="8" spans="1:20" ht="15" customHeight="1" thickBot="1">
      <c r="A8" s="23"/>
      <c r="B8" s="23">
        <v>1</v>
      </c>
      <c r="C8" s="111" t="s">
        <v>46</v>
      </c>
      <c r="D8" s="112" t="s">
        <v>134</v>
      </c>
      <c r="E8" s="111" t="s">
        <v>135</v>
      </c>
      <c r="F8" s="111" t="s">
        <v>136</v>
      </c>
      <c r="G8" s="113">
        <v>39276</v>
      </c>
      <c r="H8" s="111">
        <v>8</v>
      </c>
      <c r="I8" s="111">
        <v>8</v>
      </c>
      <c r="J8" s="111">
        <v>28</v>
      </c>
      <c r="K8" s="111" t="s">
        <v>58</v>
      </c>
      <c r="L8" s="114" t="s">
        <v>276</v>
      </c>
      <c r="M8" s="111" t="s">
        <v>129</v>
      </c>
      <c r="N8" s="4"/>
      <c r="O8" s="4"/>
      <c r="P8" s="4"/>
      <c r="Q8" s="4"/>
      <c r="R8" s="4"/>
      <c r="S8" s="4"/>
      <c r="T8" s="4"/>
    </row>
    <row r="9" spans="1:20" ht="15" customHeight="1" thickBot="1">
      <c r="A9" s="23"/>
      <c r="B9" s="23">
        <v>2</v>
      </c>
      <c r="C9" s="114" t="s">
        <v>46</v>
      </c>
      <c r="D9" s="115" t="s">
        <v>277</v>
      </c>
      <c r="E9" s="114" t="s">
        <v>135</v>
      </c>
      <c r="F9" s="114" t="s">
        <v>55</v>
      </c>
      <c r="G9" s="116">
        <v>39150</v>
      </c>
      <c r="H9" s="114">
        <v>8</v>
      </c>
      <c r="I9" s="114">
        <v>8</v>
      </c>
      <c r="J9" s="114">
        <v>32</v>
      </c>
      <c r="K9" s="114" t="s">
        <v>58</v>
      </c>
      <c r="L9" s="114" t="s">
        <v>276</v>
      </c>
      <c r="M9" s="114" t="s">
        <v>129</v>
      </c>
      <c r="N9" s="4"/>
      <c r="O9" s="4"/>
      <c r="P9" s="4"/>
      <c r="Q9" s="4"/>
      <c r="R9" s="4"/>
      <c r="S9" s="4"/>
      <c r="T9" s="4"/>
    </row>
    <row r="10" spans="1:20" ht="15" customHeight="1" thickBot="1">
      <c r="A10" s="23"/>
      <c r="B10" s="23">
        <v>3</v>
      </c>
      <c r="C10" s="114" t="s">
        <v>46</v>
      </c>
      <c r="D10" s="115" t="s">
        <v>138</v>
      </c>
      <c r="E10" s="114" t="s">
        <v>139</v>
      </c>
      <c r="F10" s="114" t="s">
        <v>140</v>
      </c>
      <c r="G10" s="116">
        <v>39024</v>
      </c>
      <c r="H10" s="114">
        <v>9</v>
      </c>
      <c r="I10" s="114">
        <v>9</v>
      </c>
      <c r="J10" s="114">
        <v>26</v>
      </c>
      <c r="K10" s="114" t="s">
        <v>58</v>
      </c>
      <c r="L10" s="114" t="s">
        <v>276</v>
      </c>
      <c r="M10" s="114" t="s">
        <v>129</v>
      </c>
      <c r="N10" s="4"/>
      <c r="O10" s="4"/>
      <c r="P10" s="4"/>
      <c r="Q10" s="4"/>
      <c r="R10" s="4"/>
      <c r="S10" s="4"/>
      <c r="T10" s="4"/>
    </row>
    <row r="11" spans="1:20" ht="15" customHeight="1" thickBot="1">
      <c r="A11" s="23"/>
      <c r="B11" s="23">
        <v>4</v>
      </c>
      <c r="C11" s="114" t="s">
        <v>38</v>
      </c>
      <c r="D11" s="115" t="s">
        <v>137</v>
      </c>
      <c r="E11" s="114" t="s">
        <v>42</v>
      </c>
      <c r="F11" s="114" t="s">
        <v>74</v>
      </c>
      <c r="G11" s="116">
        <v>38764</v>
      </c>
      <c r="H11" s="114">
        <v>9</v>
      </c>
      <c r="I11" s="114">
        <v>9</v>
      </c>
      <c r="J11" s="114">
        <v>32</v>
      </c>
      <c r="K11" s="114" t="s">
        <v>58</v>
      </c>
      <c r="L11" s="114" t="s">
        <v>276</v>
      </c>
      <c r="M11" s="114" t="s">
        <v>129</v>
      </c>
      <c r="N11" s="4"/>
      <c r="O11" s="4"/>
      <c r="P11" s="4"/>
      <c r="Q11" s="4"/>
      <c r="R11" s="4"/>
      <c r="S11" s="4"/>
      <c r="T11" s="4"/>
    </row>
    <row r="12" spans="1:20" ht="15" customHeight="1" thickBot="1">
      <c r="A12" s="23"/>
      <c r="B12" s="23">
        <v>5</v>
      </c>
      <c r="C12" s="114" t="s">
        <v>38</v>
      </c>
      <c r="D12" s="115" t="s">
        <v>143</v>
      </c>
      <c r="E12" s="114" t="s">
        <v>77</v>
      </c>
      <c r="F12" s="114" t="s">
        <v>67</v>
      </c>
      <c r="G12" s="116">
        <v>38952</v>
      </c>
      <c r="H12" s="114">
        <v>9</v>
      </c>
      <c r="I12" s="114">
        <v>9</v>
      </c>
      <c r="J12" s="114">
        <v>36</v>
      </c>
      <c r="K12" s="114" t="s">
        <v>58</v>
      </c>
      <c r="L12" s="114" t="s">
        <v>276</v>
      </c>
      <c r="M12" s="114" t="s">
        <v>129</v>
      </c>
      <c r="N12" s="4"/>
      <c r="O12" s="4"/>
      <c r="P12" s="4"/>
      <c r="Q12" s="4"/>
      <c r="R12" s="4"/>
      <c r="S12" s="4"/>
      <c r="T12" s="4"/>
    </row>
    <row r="13" spans="1:20" ht="15" customHeight="1" thickBot="1">
      <c r="A13" s="23"/>
      <c r="B13" s="23">
        <v>6</v>
      </c>
      <c r="C13" s="114" t="s">
        <v>38</v>
      </c>
      <c r="D13" s="115" t="s">
        <v>144</v>
      </c>
      <c r="E13" s="114" t="s">
        <v>145</v>
      </c>
      <c r="F13" s="114" t="s">
        <v>146</v>
      </c>
      <c r="G13" s="116">
        <v>39090</v>
      </c>
      <c r="H13" s="114">
        <v>9</v>
      </c>
      <c r="I13" s="114">
        <v>10</v>
      </c>
      <c r="J13" s="114">
        <v>31</v>
      </c>
      <c r="K13" s="114" t="s">
        <v>58</v>
      </c>
      <c r="L13" s="114" t="s">
        <v>276</v>
      </c>
      <c r="M13" s="114" t="s">
        <v>129</v>
      </c>
      <c r="N13" s="4"/>
      <c r="O13" s="4"/>
      <c r="P13" s="4"/>
      <c r="Q13" s="4"/>
      <c r="R13" s="4"/>
      <c r="S13" s="4"/>
      <c r="T13" s="4"/>
    </row>
    <row r="14" spans="1:20" ht="15" customHeight="1" thickBot="1">
      <c r="A14" s="23"/>
      <c r="B14" s="23">
        <v>7</v>
      </c>
      <c r="C14" s="114" t="s">
        <v>38</v>
      </c>
      <c r="D14" s="115" t="s">
        <v>278</v>
      </c>
      <c r="E14" s="114" t="s">
        <v>177</v>
      </c>
      <c r="F14" s="114" t="s">
        <v>78</v>
      </c>
      <c r="G14" s="116">
        <v>39047</v>
      </c>
      <c r="H14" s="114">
        <v>9</v>
      </c>
      <c r="I14" s="114">
        <v>10</v>
      </c>
      <c r="J14" s="114">
        <v>36</v>
      </c>
      <c r="K14" s="114" t="s">
        <v>58</v>
      </c>
      <c r="L14" s="114" t="s">
        <v>276</v>
      </c>
      <c r="M14" s="114" t="s">
        <v>129</v>
      </c>
      <c r="N14" s="4"/>
      <c r="O14" s="4"/>
      <c r="P14" s="4"/>
      <c r="Q14" s="4"/>
      <c r="R14" s="4"/>
      <c r="S14" s="4"/>
      <c r="T14" s="4"/>
    </row>
    <row r="15" spans="1:20" ht="15" customHeight="1" thickBot="1">
      <c r="A15" s="23"/>
      <c r="B15" s="23">
        <v>8</v>
      </c>
      <c r="C15" s="114" t="s">
        <v>38</v>
      </c>
      <c r="D15" s="115" t="s">
        <v>279</v>
      </c>
      <c r="E15" s="114" t="s">
        <v>77</v>
      </c>
      <c r="F15" s="114" t="s">
        <v>67</v>
      </c>
      <c r="G15" s="116">
        <v>38780</v>
      </c>
      <c r="H15" s="114">
        <v>9</v>
      </c>
      <c r="I15" s="114">
        <v>10</v>
      </c>
      <c r="J15" s="114">
        <v>38</v>
      </c>
      <c r="K15" s="114" t="s">
        <v>58</v>
      </c>
      <c r="L15" s="114" t="s">
        <v>276</v>
      </c>
      <c r="M15" s="114" t="s">
        <v>129</v>
      </c>
      <c r="N15" s="4"/>
      <c r="O15" s="4"/>
      <c r="P15" s="4"/>
      <c r="Q15" s="4"/>
      <c r="R15" s="4"/>
      <c r="S15" s="4"/>
      <c r="T15" s="4"/>
    </row>
    <row r="16" spans="1:20" ht="15" customHeight="1" thickBot="1">
      <c r="A16" s="23"/>
      <c r="B16" s="23">
        <v>9</v>
      </c>
      <c r="C16" s="114" t="s">
        <v>38</v>
      </c>
      <c r="D16" s="115" t="s">
        <v>280</v>
      </c>
      <c r="E16" s="114" t="s">
        <v>60</v>
      </c>
      <c r="F16" s="114" t="s">
        <v>67</v>
      </c>
      <c r="G16" s="116">
        <v>38835</v>
      </c>
      <c r="H16" s="114">
        <v>9</v>
      </c>
      <c r="I16" s="114">
        <v>10</v>
      </c>
      <c r="J16" s="114">
        <v>27</v>
      </c>
      <c r="K16" s="114" t="s">
        <v>58</v>
      </c>
      <c r="L16" s="114" t="s">
        <v>276</v>
      </c>
      <c r="M16" s="114" t="s">
        <v>199</v>
      </c>
      <c r="N16" s="4"/>
      <c r="O16" s="4"/>
      <c r="P16" s="4"/>
      <c r="Q16" s="4"/>
      <c r="R16" s="4"/>
      <c r="S16" s="4"/>
      <c r="T16" s="4"/>
    </row>
    <row r="17" spans="1:20" ht="15" customHeight="1" thickBot="1">
      <c r="A17" s="23"/>
      <c r="B17" s="23">
        <v>10</v>
      </c>
      <c r="C17" s="114" t="s">
        <v>38</v>
      </c>
      <c r="D17" s="115" t="s">
        <v>142</v>
      </c>
      <c r="E17" s="114" t="s">
        <v>40</v>
      </c>
      <c r="F17" s="114" t="s">
        <v>141</v>
      </c>
      <c r="G17" s="116">
        <v>38404</v>
      </c>
      <c r="H17" s="114">
        <v>10</v>
      </c>
      <c r="I17" s="114">
        <v>8</v>
      </c>
      <c r="J17" s="114">
        <v>35</v>
      </c>
      <c r="K17" s="114" t="s">
        <v>58</v>
      </c>
      <c r="L17" s="114" t="s">
        <v>276</v>
      </c>
      <c r="M17" s="114" t="s">
        <v>129</v>
      </c>
      <c r="N17" s="4"/>
      <c r="O17" s="4"/>
      <c r="P17" s="4"/>
      <c r="Q17" s="4"/>
      <c r="R17" s="4"/>
      <c r="S17" s="4"/>
      <c r="T17" s="4"/>
    </row>
    <row r="18" spans="1:20" ht="15" customHeight="1" thickBot="1">
      <c r="A18" s="23"/>
      <c r="B18" s="23">
        <v>11</v>
      </c>
      <c r="C18" s="114" t="s">
        <v>46</v>
      </c>
      <c r="D18" s="115" t="s">
        <v>281</v>
      </c>
      <c r="E18" s="114" t="s">
        <v>132</v>
      </c>
      <c r="F18" s="114" t="s">
        <v>133</v>
      </c>
      <c r="G18" s="116">
        <v>38485</v>
      </c>
      <c r="H18" s="114">
        <v>10</v>
      </c>
      <c r="I18" s="114">
        <v>8</v>
      </c>
      <c r="J18" s="114">
        <v>47</v>
      </c>
      <c r="K18" s="114" t="s">
        <v>58</v>
      </c>
      <c r="L18" s="114" t="s">
        <v>276</v>
      </c>
      <c r="M18" s="114" t="s">
        <v>129</v>
      </c>
      <c r="N18" s="4"/>
      <c r="O18" s="4"/>
      <c r="P18" s="4"/>
      <c r="Q18" s="4"/>
      <c r="R18" s="4"/>
      <c r="S18" s="4"/>
      <c r="T18" s="4"/>
    </row>
    <row r="19" spans="1:20" ht="15" customHeight="1" thickBot="1">
      <c r="A19" s="23"/>
      <c r="B19" s="23">
        <v>12</v>
      </c>
      <c r="C19" s="114" t="s">
        <v>38</v>
      </c>
      <c r="D19" s="115" t="s">
        <v>282</v>
      </c>
      <c r="E19" s="114" t="s">
        <v>40</v>
      </c>
      <c r="F19" s="114" t="s">
        <v>176</v>
      </c>
      <c r="G19" s="116">
        <v>38544</v>
      </c>
      <c r="H19" s="114">
        <v>10</v>
      </c>
      <c r="I19" s="114">
        <v>9</v>
      </c>
      <c r="J19" s="114">
        <v>37</v>
      </c>
      <c r="K19" s="114" t="s">
        <v>58</v>
      </c>
      <c r="L19" s="114" t="s">
        <v>276</v>
      </c>
      <c r="M19" s="114" t="s">
        <v>199</v>
      </c>
      <c r="N19" s="4"/>
      <c r="O19" s="4"/>
      <c r="P19" s="4"/>
      <c r="Q19" s="4"/>
      <c r="R19" s="4"/>
      <c r="S19" s="4"/>
      <c r="T19" s="4"/>
    </row>
    <row r="20" spans="1:20" ht="15" customHeight="1" thickBot="1">
      <c r="A20" s="23"/>
      <c r="B20" s="23">
        <v>13</v>
      </c>
      <c r="C20" s="114" t="s">
        <v>38</v>
      </c>
      <c r="D20" s="115" t="s">
        <v>283</v>
      </c>
      <c r="E20" s="114" t="s">
        <v>52</v>
      </c>
      <c r="F20" s="114" t="s">
        <v>91</v>
      </c>
      <c r="G20" s="116">
        <v>38414</v>
      </c>
      <c r="H20" s="114">
        <v>10</v>
      </c>
      <c r="I20" s="114">
        <v>9</v>
      </c>
      <c r="J20" s="114">
        <v>33</v>
      </c>
      <c r="K20" s="114" t="s">
        <v>58</v>
      </c>
      <c r="L20" s="114" t="s">
        <v>276</v>
      </c>
      <c r="M20" s="114" t="s">
        <v>199</v>
      </c>
      <c r="N20" s="4"/>
      <c r="O20" s="4"/>
      <c r="P20" s="4"/>
      <c r="Q20" s="4"/>
      <c r="R20" s="4"/>
      <c r="S20" s="4"/>
      <c r="T20" s="4"/>
    </row>
    <row r="21" spans="1:20" ht="15" customHeight="1" thickBot="1">
      <c r="A21" s="23"/>
      <c r="B21" s="23">
        <v>14</v>
      </c>
      <c r="C21" s="114" t="s">
        <v>38</v>
      </c>
      <c r="D21" s="115" t="s">
        <v>284</v>
      </c>
      <c r="E21" s="114" t="s">
        <v>210</v>
      </c>
      <c r="F21" s="114" t="s">
        <v>285</v>
      </c>
      <c r="G21" s="116">
        <v>38588</v>
      </c>
      <c r="H21" s="114">
        <v>10</v>
      </c>
      <c r="I21" s="114">
        <v>8</v>
      </c>
      <c r="J21" s="114">
        <v>35</v>
      </c>
      <c r="K21" s="114" t="s">
        <v>58</v>
      </c>
      <c r="L21" s="114" t="s">
        <v>276</v>
      </c>
      <c r="M21" s="114" t="s">
        <v>129</v>
      </c>
      <c r="N21" s="4"/>
      <c r="O21" s="4"/>
      <c r="P21" s="4"/>
      <c r="Q21" s="4"/>
      <c r="R21" s="4"/>
      <c r="S21" s="4"/>
      <c r="T21" s="4"/>
    </row>
    <row r="22" spans="1:20" ht="15" customHeight="1" thickBot="1">
      <c r="A22" s="23"/>
      <c r="B22" s="23">
        <v>15</v>
      </c>
      <c r="C22" s="114" t="s">
        <v>46</v>
      </c>
      <c r="D22" s="115" t="s">
        <v>286</v>
      </c>
      <c r="E22" s="114" t="s">
        <v>135</v>
      </c>
      <c r="F22" s="114"/>
      <c r="G22" s="116">
        <v>39301</v>
      </c>
      <c r="H22" s="114">
        <v>8</v>
      </c>
      <c r="I22" s="114">
        <v>10</v>
      </c>
      <c r="J22" s="114">
        <v>31</v>
      </c>
      <c r="K22" s="114" t="s">
        <v>58</v>
      </c>
      <c r="L22" s="114" t="s">
        <v>276</v>
      </c>
      <c r="M22" s="114" t="s">
        <v>201</v>
      </c>
      <c r="N22" s="4"/>
      <c r="O22" s="4"/>
      <c r="P22" s="4"/>
      <c r="Q22" s="4"/>
      <c r="R22" s="4"/>
      <c r="S22" s="4"/>
      <c r="T22" s="4"/>
    </row>
    <row r="23" spans="1:20" ht="15" customHeight="1" thickBot="1">
      <c r="A23" s="23"/>
      <c r="B23" s="23">
        <v>16</v>
      </c>
      <c r="C23" s="114" t="s">
        <v>46</v>
      </c>
      <c r="D23" s="115" t="s">
        <v>287</v>
      </c>
      <c r="E23" s="114" t="s">
        <v>97</v>
      </c>
      <c r="F23" s="114"/>
      <c r="G23" s="116">
        <v>39400</v>
      </c>
      <c r="H23" s="114">
        <v>8</v>
      </c>
      <c r="I23" s="114">
        <v>10</v>
      </c>
      <c r="J23" s="114">
        <v>26</v>
      </c>
      <c r="K23" s="114" t="s">
        <v>58</v>
      </c>
      <c r="L23" s="114" t="s">
        <v>276</v>
      </c>
      <c r="M23" s="114" t="s">
        <v>201</v>
      </c>
      <c r="N23" s="4"/>
      <c r="O23" s="4"/>
      <c r="P23" s="4"/>
      <c r="Q23" s="4"/>
      <c r="R23" s="4"/>
      <c r="S23" s="4"/>
      <c r="T23" s="4"/>
    </row>
    <row r="24" spans="1:20" ht="15" customHeight="1" thickBot="1">
      <c r="A24" s="23"/>
      <c r="B24" s="23">
        <v>17</v>
      </c>
      <c r="C24" s="114" t="s">
        <v>46</v>
      </c>
      <c r="D24" s="115" t="s">
        <v>288</v>
      </c>
      <c r="E24" s="114" t="s">
        <v>132</v>
      </c>
      <c r="F24" s="114" t="s">
        <v>289</v>
      </c>
      <c r="G24" s="116">
        <v>38858</v>
      </c>
      <c r="H24" s="114">
        <v>9</v>
      </c>
      <c r="I24" s="114">
        <v>8</v>
      </c>
      <c r="J24" s="114">
        <v>31</v>
      </c>
      <c r="K24" s="114" t="s">
        <v>58</v>
      </c>
      <c r="L24" s="114" t="s">
        <v>276</v>
      </c>
      <c r="M24" s="114" t="s">
        <v>201</v>
      </c>
      <c r="N24" s="4"/>
      <c r="O24" s="4"/>
      <c r="P24" s="4"/>
      <c r="Q24" s="4"/>
      <c r="R24" s="4"/>
      <c r="S24" s="4"/>
      <c r="T24" s="4"/>
    </row>
    <row r="25" spans="1:20" ht="15" customHeight="1" thickBot="1">
      <c r="A25" s="23"/>
      <c r="B25" s="23">
        <v>18</v>
      </c>
      <c r="C25" s="114" t="s">
        <v>38</v>
      </c>
      <c r="D25" s="117" t="s">
        <v>290</v>
      </c>
      <c r="E25" s="118" t="s">
        <v>39</v>
      </c>
      <c r="F25" s="114" t="s">
        <v>113</v>
      </c>
      <c r="G25" s="119">
        <v>39266</v>
      </c>
      <c r="H25" s="114">
        <v>8</v>
      </c>
      <c r="I25" s="114">
        <v>8</v>
      </c>
      <c r="J25" s="114">
        <v>29</v>
      </c>
      <c r="K25" s="114" t="s">
        <v>58</v>
      </c>
      <c r="L25" s="114" t="s">
        <v>276</v>
      </c>
      <c r="M25" s="114" t="s">
        <v>203</v>
      </c>
      <c r="N25" s="4"/>
      <c r="O25" s="4"/>
      <c r="P25" s="4"/>
      <c r="Q25" s="4"/>
      <c r="R25" s="4"/>
      <c r="S25" s="4"/>
      <c r="T25" s="4"/>
    </row>
    <row r="26" spans="1:20" ht="15" customHeight="1" thickBot="1">
      <c r="A26" s="23"/>
      <c r="B26" s="23">
        <v>19</v>
      </c>
      <c r="C26" s="114" t="s">
        <v>38</v>
      </c>
      <c r="D26" s="117" t="s">
        <v>291</v>
      </c>
      <c r="E26" s="118" t="s">
        <v>151</v>
      </c>
      <c r="F26" s="114" t="s">
        <v>152</v>
      </c>
      <c r="G26" s="119">
        <v>39416</v>
      </c>
      <c r="H26" s="114">
        <v>8</v>
      </c>
      <c r="I26" s="114">
        <v>9</v>
      </c>
      <c r="J26" s="114">
        <v>29</v>
      </c>
      <c r="K26" s="114" t="s">
        <v>58</v>
      </c>
      <c r="L26" s="114" t="s">
        <v>276</v>
      </c>
      <c r="M26" s="114" t="s">
        <v>201</v>
      </c>
      <c r="N26" s="4"/>
      <c r="O26" s="4"/>
      <c r="P26" s="4"/>
      <c r="Q26" s="4"/>
      <c r="R26" s="4"/>
      <c r="S26" s="4"/>
      <c r="T26" s="4"/>
    </row>
    <row r="27" spans="1:20" ht="15" customHeight="1" thickBot="1">
      <c r="A27" s="23"/>
      <c r="B27" s="23">
        <v>20</v>
      </c>
      <c r="C27" s="114" t="s">
        <v>38</v>
      </c>
      <c r="D27" s="117" t="s">
        <v>292</v>
      </c>
      <c r="E27" s="118" t="s">
        <v>66</v>
      </c>
      <c r="F27" s="114" t="s">
        <v>82</v>
      </c>
      <c r="G27" s="119">
        <v>39226</v>
      </c>
      <c r="H27" s="114">
        <v>8</v>
      </c>
      <c r="I27" s="114">
        <v>9</v>
      </c>
      <c r="J27" s="114">
        <v>30</v>
      </c>
      <c r="K27" s="114" t="s">
        <v>58</v>
      </c>
      <c r="L27" s="114" t="s">
        <v>276</v>
      </c>
      <c r="M27" s="114" t="s">
        <v>201</v>
      </c>
      <c r="N27" s="4"/>
      <c r="O27" s="4"/>
      <c r="P27" s="4"/>
      <c r="Q27" s="4"/>
      <c r="R27" s="4"/>
      <c r="S27" s="4"/>
      <c r="T27" s="4"/>
    </row>
    <row r="28" spans="1:20" ht="15" customHeight="1" thickBot="1">
      <c r="A28" s="23"/>
      <c r="B28" s="23">
        <v>21</v>
      </c>
      <c r="C28" s="114" t="s">
        <v>38</v>
      </c>
      <c r="D28" s="117" t="s">
        <v>229</v>
      </c>
      <c r="E28" s="118" t="s">
        <v>230</v>
      </c>
      <c r="F28" s="114" t="s">
        <v>293</v>
      </c>
      <c r="G28" s="119">
        <v>39213</v>
      </c>
      <c r="H28" s="114">
        <v>8</v>
      </c>
      <c r="I28" s="114">
        <v>10</v>
      </c>
      <c r="J28" s="114">
        <v>27</v>
      </c>
      <c r="K28" s="114" t="s">
        <v>58</v>
      </c>
      <c r="L28" s="114" t="s">
        <v>276</v>
      </c>
      <c r="M28" s="114" t="s">
        <v>201</v>
      </c>
      <c r="N28" s="4"/>
      <c r="O28" s="4"/>
      <c r="P28" s="4"/>
      <c r="Q28" s="4"/>
      <c r="R28" s="4"/>
      <c r="S28" s="4"/>
      <c r="T28" s="4"/>
    </row>
    <row r="29" spans="1:20" ht="15" customHeight="1" thickBot="1">
      <c r="A29" s="23"/>
      <c r="B29" s="23">
        <v>22</v>
      </c>
      <c r="C29" s="114" t="s">
        <v>38</v>
      </c>
      <c r="D29" s="117" t="s">
        <v>294</v>
      </c>
      <c r="E29" s="118" t="s">
        <v>45</v>
      </c>
      <c r="F29" s="114" t="s">
        <v>82</v>
      </c>
      <c r="G29" s="119">
        <v>39511</v>
      </c>
      <c r="H29" s="114">
        <v>8</v>
      </c>
      <c r="I29" s="114">
        <v>10</v>
      </c>
      <c r="J29" s="114">
        <v>26</v>
      </c>
      <c r="K29" s="114" t="s">
        <v>58</v>
      </c>
      <c r="L29" s="114" t="s">
        <v>276</v>
      </c>
      <c r="M29" s="114" t="s">
        <v>201</v>
      </c>
      <c r="N29" s="4"/>
      <c r="O29" s="4"/>
      <c r="P29" s="4"/>
      <c r="Q29" s="4"/>
      <c r="R29" s="4"/>
      <c r="S29" s="4"/>
      <c r="T29" s="4"/>
    </row>
    <row r="30" spans="1:20" ht="15" customHeight="1" thickBot="1">
      <c r="A30" s="23"/>
      <c r="B30" s="23">
        <v>23</v>
      </c>
      <c r="C30" s="114" t="s">
        <v>38</v>
      </c>
      <c r="D30" s="117" t="s">
        <v>295</v>
      </c>
      <c r="E30" s="118" t="s">
        <v>296</v>
      </c>
      <c r="F30" s="114" t="s">
        <v>67</v>
      </c>
      <c r="G30" s="119">
        <v>39490</v>
      </c>
      <c r="H30" s="114">
        <v>8</v>
      </c>
      <c r="I30" s="114">
        <v>10</v>
      </c>
      <c r="J30" s="114">
        <v>23</v>
      </c>
      <c r="K30" s="114" t="s">
        <v>58</v>
      </c>
      <c r="L30" s="114" t="s">
        <v>276</v>
      </c>
      <c r="M30" s="114" t="s">
        <v>201</v>
      </c>
      <c r="N30" s="4"/>
      <c r="O30" s="4"/>
      <c r="P30" s="4"/>
      <c r="Q30" s="4"/>
      <c r="R30" s="4"/>
      <c r="S30" s="4"/>
      <c r="T30" s="4"/>
    </row>
    <row r="31" spans="1:20" ht="15" customHeight="1" thickBot="1">
      <c r="A31" s="23"/>
      <c r="B31" s="23">
        <v>24</v>
      </c>
      <c r="C31" s="114" t="s">
        <v>38</v>
      </c>
      <c r="D31" s="115" t="s">
        <v>297</v>
      </c>
      <c r="E31" s="114" t="s">
        <v>77</v>
      </c>
      <c r="F31" s="114" t="s">
        <v>82</v>
      </c>
      <c r="G31" s="116">
        <v>39325</v>
      </c>
      <c r="H31" s="114">
        <v>8</v>
      </c>
      <c r="I31" s="114">
        <v>9</v>
      </c>
      <c r="J31" s="114">
        <v>43</v>
      </c>
      <c r="K31" s="114" t="s">
        <v>58</v>
      </c>
      <c r="L31" s="114" t="s">
        <v>276</v>
      </c>
      <c r="M31" s="114" t="s">
        <v>201</v>
      </c>
      <c r="N31" s="4"/>
      <c r="O31" s="4"/>
      <c r="P31" s="4"/>
      <c r="Q31" s="4"/>
      <c r="R31" s="4"/>
      <c r="S31" s="4"/>
      <c r="T31" s="4"/>
    </row>
    <row r="32" spans="1:20" ht="15" customHeight="1" thickBot="1">
      <c r="A32" s="23"/>
      <c r="B32" s="23">
        <v>25</v>
      </c>
      <c r="C32" s="114" t="s">
        <v>38</v>
      </c>
      <c r="D32" s="115" t="s">
        <v>195</v>
      </c>
      <c r="E32" s="114" t="s">
        <v>298</v>
      </c>
      <c r="F32" s="114" t="s">
        <v>54</v>
      </c>
      <c r="G32" s="116">
        <v>38863</v>
      </c>
      <c r="H32" s="114">
        <v>9</v>
      </c>
      <c r="I32" s="114">
        <v>10</v>
      </c>
      <c r="J32" s="114">
        <v>29</v>
      </c>
      <c r="K32" s="114" t="s">
        <v>58</v>
      </c>
      <c r="L32" s="114" t="s">
        <v>276</v>
      </c>
      <c r="M32" s="114" t="s">
        <v>299</v>
      </c>
      <c r="N32" s="4"/>
      <c r="O32" s="4"/>
      <c r="P32" s="4"/>
      <c r="Q32" s="4"/>
      <c r="R32" s="4"/>
      <c r="S32" s="4"/>
      <c r="T32" s="4"/>
    </row>
    <row r="33" spans="1:20" ht="15" customHeight="1" thickBot="1">
      <c r="A33" s="23"/>
      <c r="B33" s="23">
        <v>26</v>
      </c>
      <c r="C33" s="114" t="s">
        <v>38</v>
      </c>
      <c r="D33" s="115" t="s">
        <v>300</v>
      </c>
      <c r="E33" s="114" t="s">
        <v>81</v>
      </c>
      <c r="F33" s="114"/>
      <c r="G33" s="114"/>
      <c r="H33" s="114">
        <v>9</v>
      </c>
      <c r="I33" s="114">
        <v>10</v>
      </c>
      <c r="J33" s="114">
        <v>29</v>
      </c>
      <c r="K33" s="114" t="s">
        <v>58</v>
      </c>
      <c r="L33" s="114" t="s">
        <v>276</v>
      </c>
      <c r="M33" s="114" t="s">
        <v>201</v>
      </c>
      <c r="N33" s="4"/>
      <c r="O33" s="4"/>
      <c r="P33" s="4"/>
      <c r="Q33" s="4"/>
      <c r="R33" s="4"/>
      <c r="S33" s="4"/>
      <c r="T33" s="4"/>
    </row>
    <row r="34" spans="1:20" ht="15" customHeight="1" thickBot="1">
      <c r="A34" s="23"/>
      <c r="B34" s="23">
        <v>27</v>
      </c>
      <c r="C34" s="114" t="s">
        <v>46</v>
      </c>
      <c r="D34" s="117" t="s">
        <v>301</v>
      </c>
      <c r="E34" s="118" t="s">
        <v>221</v>
      </c>
      <c r="F34" s="114" t="s">
        <v>302</v>
      </c>
      <c r="G34" s="119">
        <v>39145</v>
      </c>
      <c r="H34" s="114">
        <v>9</v>
      </c>
      <c r="I34" s="114">
        <v>9</v>
      </c>
      <c r="J34" s="114">
        <v>26</v>
      </c>
      <c r="K34" s="114" t="s">
        <v>58</v>
      </c>
      <c r="L34" s="114" t="s">
        <v>276</v>
      </c>
      <c r="M34" s="114" t="s">
        <v>201</v>
      </c>
      <c r="N34" s="4"/>
      <c r="O34" s="4"/>
      <c r="P34" s="4"/>
      <c r="Q34" s="4"/>
      <c r="R34" s="4"/>
      <c r="S34" s="4"/>
      <c r="T34" s="4"/>
    </row>
    <row r="35" spans="1:20" ht="15" customHeight="1" thickBot="1">
      <c r="A35" s="23"/>
      <c r="B35" s="23">
        <v>28</v>
      </c>
      <c r="C35" s="114" t="s">
        <v>46</v>
      </c>
      <c r="D35" s="117" t="s">
        <v>303</v>
      </c>
      <c r="E35" s="118" t="s">
        <v>222</v>
      </c>
      <c r="F35" s="114" t="s">
        <v>55</v>
      </c>
      <c r="G35" s="119">
        <v>38842</v>
      </c>
      <c r="H35" s="114">
        <v>9</v>
      </c>
      <c r="I35" s="114">
        <v>8</v>
      </c>
      <c r="J35" s="114">
        <v>31</v>
      </c>
      <c r="K35" s="114" t="s">
        <v>58</v>
      </c>
      <c r="L35" s="114" t="s">
        <v>276</v>
      </c>
      <c r="M35" s="114" t="s">
        <v>201</v>
      </c>
      <c r="N35" s="4"/>
      <c r="O35" s="4"/>
      <c r="P35" s="4"/>
      <c r="Q35" s="4"/>
      <c r="R35" s="4"/>
      <c r="S35" s="4"/>
      <c r="T35" s="4"/>
    </row>
    <row r="36" spans="1:20" ht="15" customHeight="1" thickBot="1">
      <c r="A36" s="23"/>
      <c r="B36" s="23">
        <v>29</v>
      </c>
      <c r="C36" s="114" t="s">
        <v>38</v>
      </c>
      <c r="D36" s="117" t="s">
        <v>304</v>
      </c>
      <c r="E36" s="118" t="s">
        <v>50</v>
      </c>
      <c r="F36" s="114" t="s">
        <v>162</v>
      </c>
      <c r="G36" s="119">
        <v>39125</v>
      </c>
      <c r="H36" s="114">
        <v>9</v>
      </c>
      <c r="I36" s="114">
        <v>9</v>
      </c>
      <c r="J36" s="114">
        <v>37</v>
      </c>
      <c r="K36" s="114" t="s">
        <v>58</v>
      </c>
      <c r="L36" s="114" t="s">
        <v>276</v>
      </c>
      <c r="M36" s="114" t="s">
        <v>201</v>
      </c>
      <c r="N36" s="4"/>
      <c r="O36" s="4"/>
      <c r="P36" s="4"/>
      <c r="Q36" s="4"/>
      <c r="R36" s="4"/>
      <c r="S36" s="4"/>
      <c r="T36" s="4"/>
    </row>
    <row r="37" spans="1:20" s="78" customFormat="1" ht="15" customHeight="1" thickBot="1">
      <c r="A37" s="23"/>
      <c r="B37" s="23">
        <v>30</v>
      </c>
      <c r="C37" s="114" t="s">
        <v>38</v>
      </c>
      <c r="D37" s="117" t="s">
        <v>305</v>
      </c>
      <c r="E37" s="118" t="s">
        <v>48</v>
      </c>
      <c r="F37" s="114" t="s">
        <v>82</v>
      </c>
      <c r="G37" s="119">
        <v>38849</v>
      </c>
      <c r="H37" s="114">
        <v>9</v>
      </c>
      <c r="I37" s="114">
        <v>9</v>
      </c>
      <c r="J37" s="114">
        <v>31</v>
      </c>
      <c r="K37" s="114" t="s">
        <v>58</v>
      </c>
      <c r="L37" s="114" t="s">
        <v>276</v>
      </c>
      <c r="M37" s="114" t="s">
        <v>201</v>
      </c>
      <c r="N37" s="4"/>
      <c r="O37" s="77"/>
      <c r="P37" s="77"/>
      <c r="Q37" s="77"/>
      <c r="R37" s="77"/>
      <c r="S37" s="77"/>
      <c r="T37" s="77"/>
    </row>
    <row r="38" spans="1:20" s="78" customFormat="1" ht="15" customHeight="1" thickBot="1">
      <c r="A38" s="23"/>
      <c r="B38" s="23">
        <v>31</v>
      </c>
      <c r="C38" s="114" t="s">
        <v>38</v>
      </c>
      <c r="D38" s="117" t="s">
        <v>306</v>
      </c>
      <c r="E38" s="118" t="s">
        <v>42</v>
      </c>
      <c r="F38" s="114" t="s">
        <v>78</v>
      </c>
      <c r="G38" s="119">
        <v>38996</v>
      </c>
      <c r="H38" s="114">
        <v>9</v>
      </c>
      <c r="I38" s="114">
        <v>10</v>
      </c>
      <c r="J38" s="114">
        <v>30</v>
      </c>
      <c r="K38" s="114" t="s">
        <v>58</v>
      </c>
      <c r="L38" s="114" t="s">
        <v>276</v>
      </c>
      <c r="M38" s="114" t="s">
        <v>203</v>
      </c>
      <c r="N38" s="4"/>
      <c r="O38" s="77"/>
      <c r="P38" s="77"/>
      <c r="Q38" s="77"/>
      <c r="R38" s="77"/>
      <c r="S38" s="77"/>
      <c r="T38" s="77"/>
    </row>
    <row r="39" spans="1:20" ht="15" customHeight="1" thickBot="1">
      <c r="A39" s="23"/>
      <c r="B39" s="23">
        <v>32</v>
      </c>
      <c r="C39" s="114" t="s">
        <v>38</v>
      </c>
      <c r="D39" s="117" t="s">
        <v>227</v>
      </c>
      <c r="E39" s="118" t="s">
        <v>125</v>
      </c>
      <c r="F39" s="114" t="s">
        <v>71</v>
      </c>
      <c r="G39" s="119">
        <v>38864</v>
      </c>
      <c r="H39" s="114">
        <v>9</v>
      </c>
      <c r="I39" s="114">
        <v>10</v>
      </c>
      <c r="J39" s="114">
        <v>29</v>
      </c>
      <c r="K39" s="114" t="s">
        <v>58</v>
      </c>
      <c r="L39" s="114" t="s">
        <v>276</v>
      </c>
      <c r="M39" s="114" t="s">
        <v>201</v>
      </c>
      <c r="N39" s="4"/>
      <c r="O39" s="4"/>
      <c r="P39" s="4"/>
      <c r="Q39" s="4"/>
      <c r="R39" s="4"/>
      <c r="S39" s="4"/>
      <c r="T39" s="4"/>
    </row>
    <row r="40" spans="1:20" ht="15" customHeight="1" thickBot="1">
      <c r="A40" s="23"/>
      <c r="B40" s="23">
        <v>33</v>
      </c>
      <c r="C40" s="114" t="s">
        <v>38</v>
      </c>
      <c r="D40" s="117" t="s">
        <v>307</v>
      </c>
      <c r="E40" s="118" t="s">
        <v>89</v>
      </c>
      <c r="F40" s="114" t="s">
        <v>78</v>
      </c>
      <c r="G40" s="119">
        <v>38982</v>
      </c>
      <c r="H40" s="114">
        <v>9</v>
      </c>
      <c r="I40" s="114">
        <v>8</v>
      </c>
      <c r="J40" s="114">
        <v>34</v>
      </c>
      <c r="K40" s="114" t="s">
        <v>58</v>
      </c>
      <c r="L40" s="114" t="s">
        <v>276</v>
      </c>
      <c r="M40" s="114" t="s">
        <v>201</v>
      </c>
      <c r="N40" s="4"/>
      <c r="O40" s="4"/>
      <c r="P40" s="4"/>
      <c r="Q40" s="4"/>
      <c r="R40" s="4"/>
      <c r="S40" s="4"/>
      <c r="T40" s="4"/>
    </row>
    <row r="41" spans="1:20" ht="15" customHeight="1" thickBot="1">
      <c r="A41" s="23"/>
      <c r="B41" s="23">
        <v>34</v>
      </c>
      <c r="C41" s="114" t="s">
        <v>38</v>
      </c>
      <c r="D41" s="117" t="s">
        <v>308</v>
      </c>
      <c r="E41" s="118" t="s">
        <v>205</v>
      </c>
      <c r="F41" s="114" t="s">
        <v>82</v>
      </c>
      <c r="G41" s="119">
        <v>39062</v>
      </c>
      <c r="H41" s="114">
        <v>9</v>
      </c>
      <c r="I41" s="114">
        <v>10</v>
      </c>
      <c r="J41" s="118">
        <v>46</v>
      </c>
      <c r="K41" s="114" t="s">
        <v>58</v>
      </c>
      <c r="L41" s="114" t="s">
        <v>276</v>
      </c>
      <c r="M41" s="114" t="s">
        <v>201</v>
      </c>
      <c r="N41" s="4"/>
      <c r="O41" s="4"/>
      <c r="P41" s="4"/>
      <c r="Q41" s="4"/>
      <c r="R41" s="4"/>
      <c r="S41" s="4"/>
      <c r="T41" s="4"/>
    </row>
    <row r="42" spans="1:20" ht="15" customHeight="1" thickBot="1">
      <c r="A42" s="23"/>
      <c r="B42" s="23">
        <v>35</v>
      </c>
      <c r="C42" s="114" t="s">
        <v>38</v>
      </c>
      <c r="D42" s="115" t="s">
        <v>309</v>
      </c>
      <c r="E42" s="114" t="s">
        <v>125</v>
      </c>
      <c r="F42" s="114" t="s">
        <v>161</v>
      </c>
      <c r="G42" s="116">
        <v>38533</v>
      </c>
      <c r="H42" s="114">
        <v>10</v>
      </c>
      <c r="I42" s="114">
        <v>10</v>
      </c>
      <c r="J42" s="114">
        <v>48</v>
      </c>
      <c r="K42" s="114" t="s">
        <v>58</v>
      </c>
      <c r="L42" s="114" t="s">
        <v>276</v>
      </c>
      <c r="M42" s="114" t="s">
        <v>203</v>
      </c>
      <c r="N42" s="4"/>
      <c r="O42" s="4"/>
      <c r="P42" s="4"/>
      <c r="Q42" s="4"/>
      <c r="R42" s="4"/>
      <c r="S42" s="4"/>
      <c r="T42" s="4"/>
    </row>
    <row r="43" spans="1:20" ht="15" customHeight="1" thickBot="1">
      <c r="A43" s="23"/>
      <c r="B43" s="23">
        <v>36</v>
      </c>
      <c r="C43" s="114" t="s">
        <v>38</v>
      </c>
      <c r="D43" s="115" t="s">
        <v>310</v>
      </c>
      <c r="E43" s="114" t="s">
        <v>125</v>
      </c>
      <c r="F43" s="114" t="s">
        <v>82</v>
      </c>
      <c r="G43" s="116">
        <v>38736</v>
      </c>
      <c r="H43" s="114">
        <v>10</v>
      </c>
      <c r="I43" s="114">
        <v>10</v>
      </c>
      <c r="J43" s="114">
        <v>46</v>
      </c>
      <c r="K43" s="114" t="s">
        <v>58</v>
      </c>
      <c r="L43" s="114" t="s">
        <v>276</v>
      </c>
      <c r="M43" s="114" t="s">
        <v>203</v>
      </c>
      <c r="N43" s="4"/>
      <c r="O43" s="4"/>
      <c r="P43" s="4"/>
      <c r="Q43" s="4"/>
      <c r="R43" s="4"/>
      <c r="S43" s="4"/>
      <c r="T43" s="4"/>
    </row>
    <row r="44" spans="1:20" ht="15" customHeight="1" thickBot="1">
      <c r="A44" s="23"/>
      <c r="B44" s="23">
        <v>37</v>
      </c>
      <c r="C44" s="114" t="s">
        <v>38</v>
      </c>
      <c r="D44" s="115" t="s">
        <v>311</v>
      </c>
      <c r="E44" s="114" t="s">
        <v>52</v>
      </c>
      <c r="F44" s="114"/>
      <c r="G44" s="114"/>
      <c r="H44" s="114">
        <v>10</v>
      </c>
      <c r="I44" s="114">
        <v>10</v>
      </c>
      <c r="J44" s="114">
        <v>34</v>
      </c>
      <c r="K44" s="114" t="s">
        <v>58</v>
      </c>
      <c r="L44" s="114" t="s">
        <v>276</v>
      </c>
      <c r="M44" s="114" t="s">
        <v>201</v>
      </c>
      <c r="N44" s="4"/>
      <c r="O44" s="4"/>
      <c r="P44" s="4"/>
      <c r="Q44" s="4"/>
      <c r="R44" s="4"/>
      <c r="S44" s="4"/>
      <c r="T44" s="4"/>
    </row>
    <row r="45" spans="1:20" ht="15" customHeight="1" thickBot="1">
      <c r="A45" s="23"/>
      <c r="B45" s="23">
        <v>38</v>
      </c>
      <c r="C45" s="114" t="s">
        <v>38</v>
      </c>
      <c r="D45" s="117" t="s">
        <v>312</v>
      </c>
      <c r="E45" s="118" t="s">
        <v>51</v>
      </c>
      <c r="F45" s="114" t="s">
        <v>237</v>
      </c>
      <c r="G45" s="119">
        <v>38710</v>
      </c>
      <c r="H45" s="114">
        <v>10</v>
      </c>
      <c r="I45" s="114">
        <v>10</v>
      </c>
      <c r="J45" s="114">
        <v>36</v>
      </c>
      <c r="K45" s="114" t="s">
        <v>58</v>
      </c>
      <c r="L45" s="114" t="s">
        <v>276</v>
      </c>
      <c r="M45" s="114" t="s">
        <v>203</v>
      </c>
      <c r="N45" s="4"/>
      <c r="O45" s="4"/>
      <c r="P45" s="4"/>
      <c r="Q45" s="4"/>
      <c r="R45" s="4"/>
      <c r="S45" s="4"/>
      <c r="T45" s="4"/>
    </row>
    <row r="46" spans="1:20" s="78" customFormat="1" ht="15" customHeight="1" thickBot="1">
      <c r="A46" s="23"/>
      <c r="B46" s="23">
        <v>39</v>
      </c>
      <c r="C46" s="114" t="s">
        <v>38</v>
      </c>
      <c r="D46" s="117" t="s">
        <v>313</v>
      </c>
      <c r="E46" s="118" t="s">
        <v>43</v>
      </c>
      <c r="F46" s="114" t="s">
        <v>67</v>
      </c>
      <c r="G46" s="119">
        <v>38587</v>
      </c>
      <c r="H46" s="114">
        <v>10</v>
      </c>
      <c r="I46" s="114">
        <v>8</v>
      </c>
      <c r="J46" s="118">
        <v>29</v>
      </c>
      <c r="K46" s="114" t="s">
        <v>58</v>
      </c>
      <c r="L46" s="114" t="s">
        <v>276</v>
      </c>
      <c r="M46" s="114" t="s">
        <v>203</v>
      </c>
      <c r="N46" s="4"/>
      <c r="O46" s="77"/>
      <c r="P46" s="77"/>
      <c r="Q46" s="77"/>
      <c r="R46" s="77"/>
      <c r="S46" s="77"/>
      <c r="T46" s="77"/>
    </row>
    <row r="47" spans="1:20" ht="15" customHeight="1" thickBot="1">
      <c r="A47" s="23"/>
      <c r="B47" s="23">
        <v>40</v>
      </c>
      <c r="C47" s="114" t="s">
        <v>38</v>
      </c>
      <c r="D47" s="117" t="s">
        <v>314</v>
      </c>
      <c r="E47" s="118" t="s">
        <v>60</v>
      </c>
      <c r="F47" s="114" t="s">
        <v>54</v>
      </c>
      <c r="G47" s="119">
        <v>38644</v>
      </c>
      <c r="H47" s="114">
        <v>10</v>
      </c>
      <c r="I47" s="114">
        <v>7</v>
      </c>
      <c r="J47" s="114">
        <v>34</v>
      </c>
      <c r="K47" s="114" t="s">
        <v>58</v>
      </c>
      <c r="L47" s="114" t="s">
        <v>276</v>
      </c>
      <c r="M47" s="114" t="s">
        <v>201</v>
      </c>
      <c r="N47" s="4"/>
      <c r="O47" s="4"/>
      <c r="P47" s="4"/>
      <c r="Q47" s="4"/>
      <c r="R47" s="4"/>
      <c r="S47" s="4"/>
      <c r="T47" s="4"/>
    </row>
    <row r="48" spans="1:20" ht="15" customHeight="1" thickBot="1">
      <c r="A48" s="23"/>
      <c r="B48" s="23">
        <v>41</v>
      </c>
      <c r="C48" s="114" t="s">
        <v>38</v>
      </c>
      <c r="D48" s="117" t="s">
        <v>315</v>
      </c>
      <c r="E48" s="118" t="s">
        <v>43</v>
      </c>
      <c r="F48" s="114" t="s">
        <v>316</v>
      </c>
      <c r="G48" s="119">
        <v>38530</v>
      </c>
      <c r="H48" s="114">
        <v>10</v>
      </c>
      <c r="I48" s="114">
        <v>7</v>
      </c>
      <c r="J48" s="118">
        <v>40</v>
      </c>
      <c r="K48" s="114" t="s">
        <v>58</v>
      </c>
      <c r="L48" s="114" t="s">
        <v>276</v>
      </c>
      <c r="M48" s="114" t="s">
        <v>201</v>
      </c>
      <c r="N48" s="4"/>
      <c r="O48" s="4"/>
      <c r="P48" s="4"/>
      <c r="Q48" s="4"/>
      <c r="R48" s="4"/>
      <c r="S48" s="4"/>
      <c r="T48" s="4"/>
    </row>
    <row r="49" spans="1:20" ht="15" customHeight="1" thickBot="1">
      <c r="A49" s="23"/>
      <c r="B49" s="23">
        <v>42</v>
      </c>
      <c r="C49" s="114" t="s">
        <v>38</v>
      </c>
      <c r="D49" s="115" t="s">
        <v>317</v>
      </c>
      <c r="E49" s="114" t="s">
        <v>200</v>
      </c>
      <c r="F49" s="114" t="s">
        <v>162</v>
      </c>
      <c r="G49" s="116">
        <v>38578</v>
      </c>
      <c r="H49" s="114">
        <v>11</v>
      </c>
      <c r="I49" s="114">
        <v>9</v>
      </c>
      <c r="J49" s="114">
        <v>52</v>
      </c>
      <c r="K49" s="114" t="s">
        <v>58</v>
      </c>
      <c r="L49" s="114" t="s">
        <v>276</v>
      </c>
      <c r="M49" s="114" t="s">
        <v>201</v>
      </c>
      <c r="N49" s="4"/>
      <c r="O49" s="4"/>
      <c r="P49" s="4"/>
      <c r="Q49" s="4"/>
      <c r="R49" s="4"/>
      <c r="S49" s="4"/>
      <c r="T49" s="4"/>
    </row>
    <row r="50" spans="1:20" ht="15" customHeight="1" thickBot="1">
      <c r="A50" s="23"/>
      <c r="B50" s="23">
        <v>43</v>
      </c>
      <c r="C50" s="114" t="s">
        <v>38</v>
      </c>
      <c r="D50" s="117" t="s">
        <v>318</v>
      </c>
      <c r="E50" s="118" t="s">
        <v>125</v>
      </c>
      <c r="F50" s="114" t="s">
        <v>71</v>
      </c>
      <c r="G50" s="119">
        <v>38264</v>
      </c>
      <c r="H50" s="114">
        <v>11</v>
      </c>
      <c r="I50" s="114">
        <v>7</v>
      </c>
      <c r="J50" s="114">
        <v>36</v>
      </c>
      <c r="K50" s="114" t="s">
        <v>58</v>
      </c>
      <c r="L50" s="114" t="s">
        <v>276</v>
      </c>
      <c r="M50" s="114" t="s">
        <v>201</v>
      </c>
      <c r="N50" s="4"/>
      <c r="O50" s="4"/>
      <c r="P50" s="4"/>
      <c r="Q50" s="4"/>
      <c r="R50" s="4"/>
      <c r="S50" s="4"/>
      <c r="T50" s="4"/>
    </row>
    <row r="51" spans="1:20" ht="15" customHeight="1" thickBot="1">
      <c r="A51" s="23"/>
      <c r="B51" s="23">
        <v>44</v>
      </c>
      <c r="C51" s="114" t="s">
        <v>38</v>
      </c>
      <c r="D51" s="114" t="s">
        <v>319</v>
      </c>
      <c r="E51" s="114" t="s">
        <v>40</v>
      </c>
      <c r="F51" s="114" t="s">
        <v>113</v>
      </c>
      <c r="G51" s="120">
        <v>39189</v>
      </c>
      <c r="H51" s="114">
        <v>8</v>
      </c>
      <c r="I51" s="114"/>
      <c r="J51" s="114">
        <v>26</v>
      </c>
      <c r="K51" s="114" t="s">
        <v>58</v>
      </c>
      <c r="L51" s="114" t="s">
        <v>276</v>
      </c>
      <c r="M51" s="114" t="s">
        <v>201</v>
      </c>
      <c r="N51" s="4"/>
      <c r="O51" s="4"/>
      <c r="P51" s="4"/>
      <c r="Q51" s="4"/>
      <c r="R51" s="4"/>
      <c r="S51" s="4"/>
      <c r="T51" s="4"/>
    </row>
    <row r="52" spans="1:20" ht="15" customHeight="1" thickBot="1">
      <c r="A52" s="23"/>
      <c r="B52" s="23">
        <v>45</v>
      </c>
      <c r="C52" s="114" t="s">
        <v>38</v>
      </c>
      <c r="D52" s="117" t="s">
        <v>320</v>
      </c>
      <c r="E52" s="118" t="s">
        <v>66</v>
      </c>
      <c r="F52" s="114" t="s">
        <v>63</v>
      </c>
      <c r="G52" s="119">
        <v>38154</v>
      </c>
      <c r="H52" s="114">
        <v>11</v>
      </c>
      <c r="I52" s="114">
        <v>10</v>
      </c>
      <c r="J52" s="114">
        <v>38</v>
      </c>
      <c r="K52" s="114" t="s">
        <v>58</v>
      </c>
      <c r="L52" s="114" t="s">
        <v>276</v>
      </c>
      <c r="M52" s="114" t="s">
        <v>201</v>
      </c>
      <c r="N52" s="4"/>
      <c r="O52" s="4"/>
      <c r="P52" s="4"/>
      <c r="Q52" s="4"/>
      <c r="R52" s="4"/>
      <c r="S52" s="4"/>
      <c r="T52" s="4"/>
    </row>
    <row r="53" spans="1:20" ht="15" customHeight="1" thickBot="1">
      <c r="A53" s="23"/>
      <c r="B53" s="23">
        <v>46</v>
      </c>
      <c r="C53" s="118" t="s">
        <v>38</v>
      </c>
      <c r="D53" s="114" t="s">
        <v>236</v>
      </c>
      <c r="E53" s="114" t="s">
        <v>77</v>
      </c>
      <c r="F53" s="114" t="s">
        <v>82</v>
      </c>
      <c r="G53" s="119">
        <v>39156</v>
      </c>
      <c r="H53" s="114">
        <v>9</v>
      </c>
      <c r="I53" s="114">
        <v>9</v>
      </c>
      <c r="J53" s="114">
        <v>39</v>
      </c>
      <c r="K53" s="118" t="s">
        <v>58</v>
      </c>
      <c r="L53" s="114" t="s">
        <v>321</v>
      </c>
      <c r="M53" s="114" t="s">
        <v>253</v>
      </c>
      <c r="N53" s="4"/>
      <c r="O53" s="4"/>
      <c r="P53" s="4"/>
      <c r="Q53" s="4"/>
      <c r="R53" s="4"/>
      <c r="S53" s="4"/>
      <c r="T53" s="4"/>
    </row>
    <row r="54" spans="1:20" ht="15" customHeight="1" thickBot="1">
      <c r="A54" s="23"/>
      <c r="B54" s="23">
        <v>47</v>
      </c>
      <c r="C54" s="118" t="s">
        <v>38</v>
      </c>
      <c r="D54" s="114" t="s">
        <v>322</v>
      </c>
      <c r="E54" s="114" t="s">
        <v>81</v>
      </c>
      <c r="F54" s="114" t="s">
        <v>113</v>
      </c>
      <c r="G54" s="119">
        <v>38863</v>
      </c>
      <c r="H54" s="114">
        <v>9</v>
      </c>
      <c r="I54" s="114">
        <v>10</v>
      </c>
      <c r="J54" s="114">
        <v>38</v>
      </c>
      <c r="K54" s="118" t="s">
        <v>58</v>
      </c>
      <c r="L54" s="114" t="s">
        <v>321</v>
      </c>
      <c r="M54" s="114" t="s">
        <v>253</v>
      </c>
      <c r="N54" s="4"/>
      <c r="O54" s="4"/>
      <c r="P54" s="4"/>
      <c r="Q54" s="4"/>
      <c r="R54" s="4"/>
      <c r="S54" s="4"/>
      <c r="T54" s="4"/>
    </row>
    <row r="55" spans="1:20" ht="15" customHeight="1" thickBot="1">
      <c r="A55" s="23"/>
      <c r="B55" s="23">
        <v>48</v>
      </c>
      <c r="C55" s="118" t="s">
        <v>38</v>
      </c>
      <c r="D55" s="114" t="s">
        <v>323</v>
      </c>
      <c r="E55" s="114" t="s">
        <v>81</v>
      </c>
      <c r="F55" s="114" t="s">
        <v>54</v>
      </c>
      <c r="G55" s="119">
        <v>39147</v>
      </c>
      <c r="H55" s="114">
        <v>9</v>
      </c>
      <c r="I55" s="114">
        <v>8</v>
      </c>
      <c r="J55" s="114">
        <v>29</v>
      </c>
      <c r="K55" s="118" t="s">
        <v>58</v>
      </c>
      <c r="L55" s="114" t="s">
        <v>321</v>
      </c>
      <c r="M55" s="114" t="s">
        <v>253</v>
      </c>
      <c r="N55" s="4"/>
      <c r="O55" s="4"/>
      <c r="P55" s="4"/>
      <c r="Q55" s="4"/>
      <c r="R55" s="4"/>
      <c r="S55" s="4"/>
      <c r="T55" s="4"/>
    </row>
    <row r="56" spans="1:20" ht="15" customHeight="1" thickBot="1">
      <c r="A56" s="23"/>
      <c r="B56" s="23">
        <v>49</v>
      </c>
      <c r="C56" s="118" t="s">
        <v>38</v>
      </c>
      <c r="D56" s="114" t="s">
        <v>324</v>
      </c>
      <c r="E56" s="114" t="s">
        <v>47</v>
      </c>
      <c r="F56" s="114" t="s">
        <v>162</v>
      </c>
      <c r="G56" s="119">
        <v>38636</v>
      </c>
      <c r="H56" s="114">
        <v>10</v>
      </c>
      <c r="I56" s="114">
        <v>8</v>
      </c>
      <c r="J56" s="114">
        <v>32</v>
      </c>
      <c r="K56" s="118" t="s">
        <v>58</v>
      </c>
      <c r="L56" s="114" t="s">
        <v>321</v>
      </c>
      <c r="M56" s="114" t="s">
        <v>253</v>
      </c>
      <c r="N56" s="4"/>
      <c r="O56" s="4"/>
      <c r="P56" s="4"/>
      <c r="Q56" s="4"/>
      <c r="R56" s="4"/>
      <c r="S56" s="4"/>
      <c r="T56" s="4"/>
    </row>
    <row r="57" spans="1:20" ht="15" customHeight="1" thickBot="1">
      <c r="A57" s="23"/>
      <c r="B57" s="23">
        <v>50</v>
      </c>
      <c r="C57" s="118" t="s">
        <v>38</v>
      </c>
      <c r="D57" s="114" t="s">
        <v>325</v>
      </c>
      <c r="E57" s="114" t="s">
        <v>326</v>
      </c>
      <c r="F57" s="114" t="s">
        <v>181</v>
      </c>
      <c r="G57" s="119">
        <v>38530</v>
      </c>
      <c r="H57" s="114">
        <v>10</v>
      </c>
      <c r="I57" s="114">
        <v>9</v>
      </c>
      <c r="J57" s="114">
        <v>32</v>
      </c>
      <c r="K57" s="118" t="s">
        <v>58</v>
      </c>
      <c r="L57" s="114" t="s">
        <v>321</v>
      </c>
      <c r="M57" s="114" t="s">
        <v>253</v>
      </c>
      <c r="N57" s="4"/>
      <c r="O57" s="4"/>
      <c r="P57" s="4"/>
      <c r="Q57" s="4"/>
      <c r="R57" s="4"/>
      <c r="S57" s="4"/>
      <c r="T57" s="4"/>
    </row>
    <row r="58" spans="1:20" ht="15" customHeight="1" thickBot="1">
      <c r="A58" s="23"/>
      <c r="B58" s="23">
        <v>51</v>
      </c>
      <c r="C58" s="118" t="s">
        <v>38</v>
      </c>
      <c r="D58" s="114" t="s">
        <v>327</v>
      </c>
      <c r="E58" s="114" t="s">
        <v>52</v>
      </c>
      <c r="F58" s="114" t="s">
        <v>146</v>
      </c>
      <c r="G58" s="119">
        <v>38556</v>
      </c>
      <c r="H58" s="114">
        <v>10</v>
      </c>
      <c r="I58" s="114">
        <v>8</v>
      </c>
      <c r="J58" s="114">
        <v>33</v>
      </c>
      <c r="K58" s="118" t="s">
        <v>58</v>
      </c>
      <c r="L58" s="114" t="s">
        <v>321</v>
      </c>
      <c r="M58" s="114" t="s">
        <v>253</v>
      </c>
      <c r="N58" s="4"/>
      <c r="O58" s="4"/>
      <c r="P58" s="4"/>
      <c r="Q58" s="4"/>
      <c r="R58" s="4"/>
      <c r="S58" s="4"/>
      <c r="T58" s="4"/>
    </row>
    <row r="59" spans="1:20" ht="15" customHeight="1" thickBot="1">
      <c r="A59" s="23"/>
      <c r="B59" s="23">
        <v>52</v>
      </c>
      <c r="C59" s="118" t="s">
        <v>38</v>
      </c>
      <c r="D59" s="114" t="s">
        <v>327</v>
      </c>
      <c r="E59" s="114" t="s">
        <v>52</v>
      </c>
      <c r="F59" s="114" t="s">
        <v>146</v>
      </c>
      <c r="G59" s="119">
        <v>38556</v>
      </c>
      <c r="H59" s="114">
        <v>10</v>
      </c>
      <c r="I59" s="114">
        <v>8</v>
      </c>
      <c r="J59" s="114">
        <v>43</v>
      </c>
      <c r="K59" s="118" t="s">
        <v>58</v>
      </c>
      <c r="L59" s="114" t="s">
        <v>321</v>
      </c>
      <c r="M59" s="114" t="s">
        <v>253</v>
      </c>
      <c r="N59" s="4"/>
      <c r="O59" s="4"/>
      <c r="P59" s="4"/>
      <c r="Q59" s="4"/>
      <c r="R59" s="4"/>
      <c r="S59" s="4"/>
      <c r="T59" s="4"/>
    </row>
    <row r="60" spans="1:20" ht="15" customHeight="1" thickBot="1">
      <c r="A60" s="23"/>
      <c r="B60" s="23">
        <v>53</v>
      </c>
      <c r="C60" s="118" t="s">
        <v>38</v>
      </c>
      <c r="D60" s="114" t="s">
        <v>328</v>
      </c>
      <c r="E60" s="114" t="s">
        <v>47</v>
      </c>
      <c r="F60" s="114"/>
      <c r="G60" s="119"/>
      <c r="H60" s="114">
        <v>9</v>
      </c>
      <c r="I60" s="114">
        <v>9</v>
      </c>
      <c r="J60" s="114">
        <v>27</v>
      </c>
      <c r="K60" s="118" t="s">
        <v>58</v>
      </c>
      <c r="L60" s="114" t="s">
        <v>321</v>
      </c>
      <c r="M60" s="114" t="s">
        <v>254</v>
      </c>
      <c r="N60" s="4"/>
      <c r="O60" s="4"/>
      <c r="P60" s="4"/>
      <c r="Q60" s="4"/>
      <c r="R60" s="4"/>
      <c r="S60" s="4"/>
      <c r="T60" s="4"/>
    </row>
    <row r="61" spans="1:20" ht="15" customHeight="1" thickBot="1">
      <c r="A61" s="23"/>
      <c r="B61" s="23">
        <v>54</v>
      </c>
      <c r="C61" s="118" t="s">
        <v>38</v>
      </c>
      <c r="D61" s="114" t="s">
        <v>329</v>
      </c>
      <c r="E61" s="114" t="s">
        <v>151</v>
      </c>
      <c r="F61" s="114"/>
      <c r="G61" s="119"/>
      <c r="H61" s="114">
        <v>9</v>
      </c>
      <c r="I61" s="114">
        <v>10</v>
      </c>
      <c r="J61" s="114">
        <v>26</v>
      </c>
      <c r="K61" s="118" t="s">
        <v>58</v>
      </c>
      <c r="L61" s="114" t="s">
        <v>321</v>
      </c>
      <c r="M61" s="114" t="s">
        <v>254</v>
      </c>
      <c r="N61" s="4"/>
      <c r="O61" s="4"/>
      <c r="P61" s="4"/>
      <c r="Q61" s="4"/>
      <c r="R61" s="4"/>
      <c r="S61" s="4"/>
      <c r="T61" s="4"/>
    </row>
    <row r="62" spans="1:20" ht="15" customHeight="1" thickBot="1">
      <c r="A62" s="23"/>
      <c r="B62" s="23">
        <v>55</v>
      </c>
      <c r="C62" s="114" t="s">
        <v>46</v>
      </c>
      <c r="D62" s="114" t="s">
        <v>330</v>
      </c>
      <c r="E62" s="114" t="s">
        <v>331</v>
      </c>
      <c r="F62" s="114"/>
      <c r="G62" s="119"/>
      <c r="H62" s="114">
        <v>9</v>
      </c>
      <c r="I62" s="114">
        <v>9</v>
      </c>
      <c r="J62" s="114">
        <v>39</v>
      </c>
      <c r="K62" s="118" t="s">
        <v>58</v>
      </c>
      <c r="L62" s="114" t="s">
        <v>321</v>
      </c>
      <c r="M62" s="114" t="s">
        <v>254</v>
      </c>
      <c r="N62" s="4"/>
      <c r="O62" s="4"/>
      <c r="P62" s="4"/>
      <c r="Q62" s="4"/>
      <c r="R62" s="4"/>
      <c r="S62" s="4"/>
      <c r="T62" s="4"/>
    </row>
    <row r="63" spans="1:20" s="78" customFormat="1" ht="15" customHeight="1" thickBot="1">
      <c r="A63" s="23"/>
      <c r="B63" s="23">
        <v>56</v>
      </c>
      <c r="C63" s="121" t="s">
        <v>33</v>
      </c>
      <c r="D63" s="121" t="s">
        <v>332</v>
      </c>
      <c r="E63" s="121" t="s">
        <v>81</v>
      </c>
      <c r="F63" s="121" t="s">
        <v>155</v>
      </c>
      <c r="G63" s="122">
        <v>38480</v>
      </c>
      <c r="H63" s="121">
        <v>10</v>
      </c>
      <c r="I63" s="121">
        <v>9</v>
      </c>
      <c r="J63" s="121">
        <v>29</v>
      </c>
      <c r="K63" s="121" t="s">
        <v>333</v>
      </c>
      <c r="L63" s="121" t="s">
        <v>334</v>
      </c>
      <c r="M63" s="121" t="s">
        <v>257</v>
      </c>
      <c r="N63" s="4"/>
      <c r="O63" s="77"/>
      <c r="P63" s="77"/>
      <c r="Q63" s="77"/>
      <c r="R63" s="77"/>
      <c r="S63" s="77"/>
      <c r="T63" s="77"/>
    </row>
    <row r="64" spans="1:20" ht="15" customHeight="1" thickBot="1">
      <c r="A64" s="23"/>
      <c r="B64" s="23">
        <v>57</v>
      </c>
      <c r="C64" s="114" t="s">
        <v>33</v>
      </c>
      <c r="D64" s="114" t="s">
        <v>186</v>
      </c>
      <c r="E64" s="114" t="s">
        <v>145</v>
      </c>
      <c r="F64" s="114" t="s">
        <v>82</v>
      </c>
      <c r="G64" s="119">
        <v>38484</v>
      </c>
      <c r="H64" s="114">
        <v>10</v>
      </c>
      <c r="I64" s="114">
        <v>10</v>
      </c>
      <c r="J64" s="114">
        <v>28</v>
      </c>
      <c r="K64" s="114" t="s">
        <v>333</v>
      </c>
      <c r="L64" s="114" t="s">
        <v>334</v>
      </c>
      <c r="M64" s="114" t="s">
        <v>257</v>
      </c>
      <c r="N64" s="4"/>
      <c r="O64" s="4"/>
      <c r="P64" s="4"/>
      <c r="Q64" s="4"/>
      <c r="R64" s="4"/>
      <c r="S64" s="4"/>
      <c r="T64" s="4"/>
    </row>
    <row r="65" spans="1:20" ht="15" customHeight="1" thickBot="1">
      <c r="A65" s="23"/>
      <c r="B65" s="23">
        <v>58</v>
      </c>
      <c r="C65" s="114" t="s">
        <v>53</v>
      </c>
      <c r="D65" s="114" t="s">
        <v>335</v>
      </c>
      <c r="E65" s="114" t="s">
        <v>336</v>
      </c>
      <c r="F65" s="114" t="s">
        <v>337</v>
      </c>
      <c r="G65" s="119">
        <v>38249</v>
      </c>
      <c r="H65" s="114">
        <v>11</v>
      </c>
      <c r="I65" s="114">
        <v>8</v>
      </c>
      <c r="J65" s="114">
        <v>31</v>
      </c>
      <c r="K65" s="114" t="s">
        <v>338</v>
      </c>
      <c r="L65" s="114" t="s">
        <v>334</v>
      </c>
      <c r="M65" s="114" t="s">
        <v>257</v>
      </c>
      <c r="N65" s="4"/>
      <c r="O65" s="4"/>
      <c r="P65" s="4"/>
      <c r="Q65" s="4"/>
      <c r="R65" s="4"/>
      <c r="S65" s="4"/>
      <c r="T65" s="4"/>
    </row>
    <row r="66" spans="1:20" ht="15" customHeight="1" thickBot="1">
      <c r="A66" s="23"/>
      <c r="B66" s="23">
        <v>59</v>
      </c>
      <c r="C66" s="114" t="s">
        <v>53</v>
      </c>
      <c r="D66" s="114" t="s">
        <v>339</v>
      </c>
      <c r="E66" s="114" t="s">
        <v>222</v>
      </c>
      <c r="F66" s="114" t="s">
        <v>96</v>
      </c>
      <c r="G66" s="119">
        <v>38685</v>
      </c>
      <c r="H66" s="114">
        <v>10</v>
      </c>
      <c r="I66" s="114">
        <v>10</v>
      </c>
      <c r="J66" s="114">
        <v>32</v>
      </c>
      <c r="K66" s="114" t="s">
        <v>338</v>
      </c>
      <c r="L66" s="114" t="s">
        <v>334</v>
      </c>
      <c r="M66" s="114" t="s">
        <v>257</v>
      </c>
      <c r="N66" s="4"/>
      <c r="O66" s="4"/>
      <c r="P66" s="4"/>
      <c r="Q66" s="4"/>
      <c r="R66" s="4"/>
      <c r="S66" s="4"/>
      <c r="T66" s="4"/>
    </row>
    <row r="67" spans="1:20" ht="15" customHeight="1" thickBot="1">
      <c r="A67" s="23"/>
      <c r="B67" s="23">
        <v>60</v>
      </c>
      <c r="C67" s="114" t="s">
        <v>33</v>
      </c>
      <c r="D67" s="114" t="s">
        <v>188</v>
      </c>
      <c r="E67" s="114" t="s">
        <v>93</v>
      </c>
      <c r="F67" s="114" t="s">
        <v>82</v>
      </c>
      <c r="G67" s="119">
        <v>39439</v>
      </c>
      <c r="H67" s="114">
        <v>9</v>
      </c>
      <c r="I67" s="114">
        <v>10</v>
      </c>
      <c r="J67" s="114">
        <v>28</v>
      </c>
      <c r="K67" s="114" t="s">
        <v>333</v>
      </c>
      <c r="L67" s="114" t="s">
        <v>334</v>
      </c>
      <c r="M67" s="114" t="s">
        <v>257</v>
      </c>
      <c r="N67" s="4"/>
      <c r="O67" s="4"/>
      <c r="P67" s="4"/>
      <c r="Q67" s="4"/>
      <c r="R67" s="4"/>
      <c r="S67" s="4"/>
      <c r="T67" s="4"/>
    </row>
    <row r="68" spans="1:20" s="78" customFormat="1" ht="15" customHeight="1" thickBot="1">
      <c r="A68" s="23"/>
      <c r="B68" s="23">
        <v>61</v>
      </c>
      <c r="C68" s="121" t="s">
        <v>33</v>
      </c>
      <c r="D68" s="121" t="s">
        <v>340</v>
      </c>
      <c r="E68" s="121" t="s">
        <v>61</v>
      </c>
      <c r="F68" s="121" t="s">
        <v>79</v>
      </c>
      <c r="G68" s="122">
        <v>39218</v>
      </c>
      <c r="H68" s="121">
        <v>8</v>
      </c>
      <c r="I68" s="121">
        <v>10</v>
      </c>
      <c r="J68" s="121">
        <v>28</v>
      </c>
      <c r="K68" s="121" t="s">
        <v>333</v>
      </c>
      <c r="L68" s="121" t="s">
        <v>334</v>
      </c>
      <c r="M68" s="121" t="s">
        <v>256</v>
      </c>
      <c r="N68" s="4"/>
      <c r="O68" s="77"/>
      <c r="P68" s="77"/>
      <c r="Q68" s="77"/>
      <c r="R68" s="77"/>
      <c r="S68" s="77"/>
      <c r="T68" s="77"/>
    </row>
    <row r="69" spans="1:20" ht="15" customHeight="1" thickBot="1">
      <c r="A69" s="23"/>
      <c r="B69" s="23">
        <v>62</v>
      </c>
      <c r="C69" s="114" t="s">
        <v>53</v>
      </c>
      <c r="D69" s="114" t="s">
        <v>335</v>
      </c>
      <c r="E69" s="114" t="s">
        <v>341</v>
      </c>
      <c r="F69" s="114" t="s">
        <v>337</v>
      </c>
      <c r="G69" s="119">
        <v>39229</v>
      </c>
      <c r="H69" s="114">
        <v>8</v>
      </c>
      <c r="I69" s="114">
        <v>9</v>
      </c>
      <c r="J69" s="114">
        <v>22</v>
      </c>
      <c r="K69" s="114" t="s">
        <v>342</v>
      </c>
      <c r="L69" s="114" t="s">
        <v>334</v>
      </c>
      <c r="M69" s="114" t="s">
        <v>257</v>
      </c>
      <c r="N69" s="4"/>
      <c r="O69" s="4"/>
      <c r="P69" s="4"/>
      <c r="Q69" s="4"/>
      <c r="R69" s="4"/>
      <c r="S69" s="4"/>
      <c r="T69" s="4"/>
    </row>
    <row r="70" spans="1:20" ht="15" customHeight="1" thickBot="1">
      <c r="A70" s="23"/>
      <c r="B70" s="23">
        <v>63</v>
      </c>
      <c r="C70" s="114" t="s">
        <v>53</v>
      </c>
      <c r="D70" s="114" t="s">
        <v>189</v>
      </c>
      <c r="E70" s="114" t="s">
        <v>190</v>
      </c>
      <c r="F70" s="114" t="s">
        <v>96</v>
      </c>
      <c r="G70" s="119">
        <v>39321</v>
      </c>
      <c r="H70" s="114">
        <v>8</v>
      </c>
      <c r="I70" s="114">
        <v>9</v>
      </c>
      <c r="J70" s="114">
        <v>26</v>
      </c>
      <c r="K70" s="114" t="s">
        <v>342</v>
      </c>
      <c r="L70" s="114" t="s">
        <v>334</v>
      </c>
      <c r="M70" s="114" t="s">
        <v>257</v>
      </c>
      <c r="N70" s="4"/>
      <c r="O70" s="4"/>
      <c r="P70" s="4"/>
      <c r="Q70" s="4"/>
      <c r="R70" s="4"/>
      <c r="S70" s="4"/>
      <c r="T70" s="4"/>
    </row>
    <row r="71" spans="1:20" ht="15" customHeight="1" thickBot="1">
      <c r="A71" s="23"/>
      <c r="B71" s="23">
        <v>64</v>
      </c>
      <c r="C71" s="114" t="s">
        <v>33</v>
      </c>
      <c r="D71" s="114" t="s">
        <v>343</v>
      </c>
      <c r="E71" s="114" t="s">
        <v>61</v>
      </c>
      <c r="F71" s="114" t="s">
        <v>54</v>
      </c>
      <c r="G71" s="119">
        <v>39432</v>
      </c>
      <c r="H71" s="114">
        <v>8</v>
      </c>
      <c r="I71" s="114">
        <v>9</v>
      </c>
      <c r="J71" s="114">
        <v>25</v>
      </c>
      <c r="K71" s="118" t="s">
        <v>58</v>
      </c>
      <c r="L71" s="114" t="s">
        <v>344</v>
      </c>
      <c r="M71" s="114" t="s">
        <v>184</v>
      </c>
      <c r="N71" s="4"/>
      <c r="O71" s="4"/>
      <c r="P71" s="4"/>
      <c r="Q71" s="4"/>
      <c r="R71" s="4"/>
      <c r="S71" s="4"/>
      <c r="T71" s="4"/>
    </row>
    <row r="72" spans="1:20" ht="15" customHeight="1" thickBot="1">
      <c r="A72" s="23"/>
      <c r="B72" s="23">
        <v>65</v>
      </c>
      <c r="C72" s="114" t="s">
        <v>53</v>
      </c>
      <c r="D72" s="114" t="s">
        <v>345</v>
      </c>
      <c r="E72" s="114" t="s">
        <v>158</v>
      </c>
      <c r="F72" s="114" t="s">
        <v>346</v>
      </c>
      <c r="G72" s="119">
        <v>38411</v>
      </c>
      <c r="H72" s="114">
        <v>11</v>
      </c>
      <c r="I72" s="114">
        <v>6</v>
      </c>
      <c r="J72" s="114">
        <v>54</v>
      </c>
      <c r="K72" s="118" t="s">
        <v>58</v>
      </c>
      <c r="L72" s="114" t="s">
        <v>347</v>
      </c>
      <c r="M72" s="114" t="s">
        <v>184</v>
      </c>
      <c r="N72" s="4"/>
      <c r="O72" s="4"/>
      <c r="P72" s="4"/>
      <c r="Q72" s="4"/>
      <c r="R72" s="4"/>
      <c r="S72" s="4"/>
      <c r="T72" s="4"/>
    </row>
    <row r="73" spans="1:20" ht="15" customHeight="1" thickBot="1">
      <c r="A73" s="23"/>
      <c r="B73" s="23">
        <v>66</v>
      </c>
      <c r="C73" s="114" t="s">
        <v>33</v>
      </c>
      <c r="D73" s="114" t="s">
        <v>348</v>
      </c>
      <c r="E73" s="114" t="s">
        <v>206</v>
      </c>
      <c r="F73" s="114" t="s">
        <v>87</v>
      </c>
      <c r="G73" s="119">
        <v>38872</v>
      </c>
      <c r="H73" s="114">
        <v>9</v>
      </c>
      <c r="I73" s="114">
        <v>9</v>
      </c>
      <c r="J73" s="114">
        <v>29</v>
      </c>
      <c r="K73" s="118" t="s">
        <v>58</v>
      </c>
      <c r="L73" s="114" t="s">
        <v>347</v>
      </c>
      <c r="M73" s="114" t="s">
        <v>258</v>
      </c>
      <c r="N73" s="4"/>
      <c r="O73" s="4"/>
      <c r="P73" s="4"/>
      <c r="Q73" s="4"/>
      <c r="R73" s="4"/>
      <c r="S73" s="4"/>
      <c r="T73" s="4"/>
    </row>
    <row r="74" spans="1:20" ht="15" customHeight="1" thickBot="1">
      <c r="A74" s="23"/>
      <c r="B74" s="23">
        <v>67</v>
      </c>
      <c r="C74" s="114" t="s">
        <v>33</v>
      </c>
      <c r="D74" s="114" t="s">
        <v>349</v>
      </c>
      <c r="E74" s="114" t="s">
        <v>182</v>
      </c>
      <c r="F74" s="114" t="s">
        <v>82</v>
      </c>
      <c r="G74" s="119">
        <v>38363</v>
      </c>
      <c r="H74" s="114">
        <v>11</v>
      </c>
      <c r="I74" s="114">
        <v>10</v>
      </c>
      <c r="J74" s="114">
        <v>50</v>
      </c>
      <c r="K74" s="118" t="s">
        <v>58</v>
      </c>
      <c r="L74" s="114" t="s">
        <v>347</v>
      </c>
      <c r="M74" s="114" t="s">
        <v>258</v>
      </c>
      <c r="N74" s="4"/>
      <c r="O74" s="4"/>
      <c r="P74" s="4"/>
      <c r="Q74" s="4"/>
      <c r="R74" s="4"/>
      <c r="S74" s="4"/>
      <c r="T74" s="4"/>
    </row>
    <row r="75" spans="1:20" ht="15" customHeight="1" thickBot="1">
      <c r="A75" s="23"/>
      <c r="B75" s="23">
        <v>68</v>
      </c>
      <c r="C75" s="114" t="s">
        <v>33</v>
      </c>
      <c r="D75" s="114" t="s">
        <v>350</v>
      </c>
      <c r="E75" s="114" t="s">
        <v>43</v>
      </c>
      <c r="F75" s="114" t="s">
        <v>71</v>
      </c>
      <c r="G75" s="120">
        <v>38083</v>
      </c>
      <c r="H75" s="114">
        <v>11</v>
      </c>
      <c r="I75" s="114">
        <v>10</v>
      </c>
      <c r="J75" s="114">
        <v>62</v>
      </c>
      <c r="K75" s="118" t="s">
        <v>58</v>
      </c>
      <c r="L75" s="114" t="s">
        <v>347</v>
      </c>
      <c r="M75" s="114" t="s">
        <v>258</v>
      </c>
      <c r="N75" s="4"/>
      <c r="O75" s="4"/>
      <c r="P75" s="4"/>
      <c r="Q75" s="4"/>
      <c r="R75" s="4"/>
      <c r="S75" s="4"/>
      <c r="T75" s="4"/>
    </row>
    <row r="76" spans="1:20" ht="15" customHeight="1" thickBot="1">
      <c r="A76" s="23"/>
      <c r="B76" s="23">
        <v>69</v>
      </c>
      <c r="C76" s="114" t="s">
        <v>33</v>
      </c>
      <c r="D76" s="114" t="s">
        <v>351</v>
      </c>
      <c r="E76" s="114" t="s">
        <v>69</v>
      </c>
      <c r="F76" s="114" t="s">
        <v>352</v>
      </c>
      <c r="G76" s="120">
        <v>38405</v>
      </c>
      <c r="H76" s="114">
        <v>11</v>
      </c>
      <c r="I76" s="114">
        <v>10</v>
      </c>
      <c r="J76" s="114">
        <v>29</v>
      </c>
      <c r="K76" s="118" t="s">
        <v>58</v>
      </c>
      <c r="L76" s="114" t="s">
        <v>347</v>
      </c>
      <c r="M76" s="114" t="s">
        <v>258</v>
      </c>
      <c r="N76" s="4"/>
      <c r="O76" s="4"/>
      <c r="P76" s="4"/>
      <c r="Q76" s="4"/>
      <c r="R76" s="4"/>
      <c r="S76" s="4"/>
      <c r="T76" s="4"/>
    </row>
    <row r="77" spans="1:20" ht="15" customHeight="1" thickBot="1">
      <c r="A77" s="23"/>
      <c r="B77" s="23">
        <v>70</v>
      </c>
      <c r="C77" s="114" t="s">
        <v>53</v>
      </c>
      <c r="D77" s="114" t="s">
        <v>353</v>
      </c>
      <c r="E77" s="114" t="s">
        <v>354</v>
      </c>
      <c r="F77" s="114" t="s">
        <v>355</v>
      </c>
      <c r="G77" s="120">
        <v>38833</v>
      </c>
      <c r="H77" s="114">
        <v>9</v>
      </c>
      <c r="I77" s="114">
        <v>10</v>
      </c>
      <c r="J77" s="114">
        <v>33</v>
      </c>
      <c r="K77" s="118" t="s">
        <v>58</v>
      </c>
      <c r="L77" s="114" t="s">
        <v>347</v>
      </c>
      <c r="M77" s="114" t="s">
        <v>258</v>
      </c>
      <c r="N77" s="4"/>
      <c r="O77" s="4"/>
      <c r="P77" s="4"/>
      <c r="Q77" s="4"/>
      <c r="R77" s="4"/>
      <c r="S77" s="4"/>
      <c r="T77" s="4"/>
    </row>
    <row r="78" spans="1:20" ht="15" customHeight="1" thickBot="1">
      <c r="A78" s="23"/>
      <c r="B78" s="23">
        <v>71</v>
      </c>
      <c r="C78" s="114" t="s">
        <v>33</v>
      </c>
      <c r="D78" s="114" t="s">
        <v>356</v>
      </c>
      <c r="E78" s="114" t="s">
        <v>43</v>
      </c>
      <c r="F78" s="114" t="s">
        <v>71</v>
      </c>
      <c r="G78" s="120">
        <v>38505</v>
      </c>
      <c r="H78" s="114">
        <v>10</v>
      </c>
      <c r="I78" s="114">
        <v>10</v>
      </c>
      <c r="J78" s="114">
        <v>31</v>
      </c>
      <c r="K78" s="118" t="s">
        <v>58</v>
      </c>
      <c r="L78" s="114" t="s">
        <v>347</v>
      </c>
      <c r="M78" s="114" t="s">
        <v>184</v>
      </c>
      <c r="N78" s="4"/>
      <c r="O78" s="4"/>
      <c r="P78" s="4"/>
      <c r="Q78" s="4"/>
      <c r="R78" s="4"/>
      <c r="S78" s="4"/>
      <c r="T78" s="4"/>
    </row>
    <row r="79" spans="1:20" ht="15" customHeight="1" thickBot="1">
      <c r="A79" s="23"/>
      <c r="B79" s="23">
        <v>72</v>
      </c>
      <c r="C79" s="114" t="s">
        <v>38</v>
      </c>
      <c r="D79" s="114" t="s">
        <v>357</v>
      </c>
      <c r="E79" s="114" t="s">
        <v>228</v>
      </c>
      <c r="F79" s="114" t="s">
        <v>78</v>
      </c>
      <c r="G79" s="120">
        <v>38352</v>
      </c>
      <c r="H79" s="114">
        <v>11</v>
      </c>
      <c r="I79" s="114">
        <v>5</v>
      </c>
      <c r="J79" s="114">
        <v>42</v>
      </c>
      <c r="K79" s="114" t="s">
        <v>58</v>
      </c>
      <c r="L79" s="114" t="s">
        <v>358</v>
      </c>
      <c r="M79" s="114" t="s">
        <v>359</v>
      </c>
      <c r="N79" s="4"/>
      <c r="O79" s="4"/>
      <c r="P79" s="4"/>
      <c r="Q79" s="4"/>
      <c r="R79" s="4"/>
      <c r="S79" s="4"/>
      <c r="T79" s="4"/>
    </row>
    <row r="80" spans="1:20" ht="15" customHeight="1" thickBot="1">
      <c r="A80" s="23"/>
      <c r="B80" s="23">
        <v>73</v>
      </c>
      <c r="C80" s="114" t="s">
        <v>38</v>
      </c>
      <c r="D80" s="114" t="s">
        <v>360</v>
      </c>
      <c r="E80" s="114" t="s">
        <v>40</v>
      </c>
      <c r="F80" s="114" t="s">
        <v>82</v>
      </c>
      <c r="G80" s="120">
        <v>38327</v>
      </c>
      <c r="H80" s="114">
        <v>11</v>
      </c>
      <c r="I80" s="114">
        <v>7</v>
      </c>
      <c r="J80" s="114">
        <v>54</v>
      </c>
      <c r="K80" s="114" t="s">
        <v>58</v>
      </c>
      <c r="L80" s="114" t="s">
        <v>358</v>
      </c>
      <c r="M80" s="114" t="s">
        <v>359</v>
      </c>
      <c r="N80" s="4"/>
      <c r="O80" s="4"/>
      <c r="P80" s="4"/>
      <c r="Q80" s="4"/>
      <c r="R80" s="4"/>
      <c r="S80" s="4"/>
      <c r="T80" s="4"/>
    </row>
    <row r="81" spans="1:20" ht="15" customHeight="1" thickBot="1">
      <c r="A81" s="23"/>
      <c r="B81" s="23">
        <v>74</v>
      </c>
      <c r="C81" s="114" t="s">
        <v>38</v>
      </c>
      <c r="D81" s="114" t="s">
        <v>361</v>
      </c>
      <c r="E81" s="114" t="s">
        <v>40</v>
      </c>
      <c r="F81" s="114" t="s">
        <v>162</v>
      </c>
      <c r="G81" s="120">
        <v>39154</v>
      </c>
      <c r="H81" s="114">
        <v>9</v>
      </c>
      <c r="I81" s="114">
        <v>8</v>
      </c>
      <c r="J81" s="114">
        <v>26</v>
      </c>
      <c r="K81" s="114" t="s">
        <v>58</v>
      </c>
      <c r="L81" s="114" t="s">
        <v>358</v>
      </c>
      <c r="M81" s="114" t="s">
        <v>359</v>
      </c>
      <c r="N81" s="4"/>
      <c r="O81" s="4"/>
      <c r="P81" s="4"/>
      <c r="Q81" s="4"/>
      <c r="R81" s="4"/>
      <c r="S81" s="4"/>
      <c r="T81" s="4"/>
    </row>
    <row r="82" spans="1:20" ht="15" customHeight="1" thickBot="1">
      <c r="A82" s="23"/>
      <c r="B82" s="23">
        <v>75</v>
      </c>
      <c r="C82" s="123" t="s">
        <v>38</v>
      </c>
      <c r="D82" s="123" t="s">
        <v>362</v>
      </c>
      <c r="E82" s="123" t="s">
        <v>48</v>
      </c>
      <c r="F82" s="123" t="s">
        <v>113</v>
      </c>
      <c r="G82" s="120">
        <v>38991</v>
      </c>
      <c r="H82" s="123">
        <v>9</v>
      </c>
      <c r="I82" s="123" t="s">
        <v>363</v>
      </c>
      <c r="J82" s="123" t="s">
        <v>364</v>
      </c>
      <c r="K82" s="123" t="s">
        <v>58</v>
      </c>
      <c r="L82" s="123" t="s">
        <v>365</v>
      </c>
      <c r="M82" s="123" t="s">
        <v>261</v>
      </c>
      <c r="N82" s="4"/>
      <c r="O82" s="4"/>
      <c r="P82" s="4"/>
      <c r="Q82" s="4"/>
      <c r="R82" s="4"/>
      <c r="S82" s="4"/>
      <c r="T82" s="4"/>
    </row>
    <row r="83" spans="1:20" ht="15" customHeight="1" thickBot="1">
      <c r="A83" s="23"/>
      <c r="B83" s="23">
        <v>76</v>
      </c>
      <c r="C83" s="123" t="s">
        <v>38</v>
      </c>
      <c r="D83" s="123" t="s">
        <v>366</v>
      </c>
      <c r="E83" s="123" t="s">
        <v>52</v>
      </c>
      <c r="F83" s="123" t="s">
        <v>82</v>
      </c>
      <c r="G83" s="120">
        <v>38573</v>
      </c>
      <c r="H83" s="123">
        <v>10</v>
      </c>
      <c r="I83" s="123" t="s">
        <v>363</v>
      </c>
      <c r="J83" s="123" t="s">
        <v>364</v>
      </c>
      <c r="K83" s="123" t="s">
        <v>58</v>
      </c>
      <c r="L83" s="123" t="s">
        <v>365</v>
      </c>
      <c r="M83" s="123" t="s">
        <v>261</v>
      </c>
      <c r="N83" s="4"/>
      <c r="O83" s="4"/>
      <c r="P83" s="4"/>
      <c r="Q83" s="4"/>
      <c r="R83" s="4"/>
      <c r="S83" s="4"/>
      <c r="T83" s="4"/>
    </row>
    <row r="84" spans="1:20" ht="15" customHeight="1" thickBot="1">
      <c r="A84" s="23"/>
      <c r="B84" s="23">
        <v>77</v>
      </c>
      <c r="C84" s="123" t="s">
        <v>38</v>
      </c>
      <c r="D84" s="123" t="s">
        <v>367</v>
      </c>
      <c r="E84" s="123" t="s">
        <v>368</v>
      </c>
      <c r="F84" s="123" t="s">
        <v>166</v>
      </c>
      <c r="G84" s="120">
        <v>38794</v>
      </c>
      <c r="H84" s="123">
        <v>10</v>
      </c>
      <c r="I84" s="123" t="s">
        <v>363</v>
      </c>
      <c r="J84" s="123" t="s">
        <v>369</v>
      </c>
      <c r="K84" s="123" t="s">
        <v>58</v>
      </c>
      <c r="L84" s="123" t="s">
        <v>365</v>
      </c>
      <c r="M84" s="123" t="s">
        <v>261</v>
      </c>
      <c r="N84" s="4"/>
      <c r="O84" s="4"/>
      <c r="P84" s="4"/>
      <c r="Q84" s="4"/>
      <c r="R84" s="4"/>
      <c r="S84" s="4"/>
      <c r="T84" s="4"/>
    </row>
    <row r="85" spans="1:20" ht="15" customHeight="1" thickBot="1">
      <c r="A85" s="23"/>
      <c r="B85" s="23">
        <v>78</v>
      </c>
      <c r="C85" s="123" t="s">
        <v>38</v>
      </c>
      <c r="D85" s="123" t="s">
        <v>370</v>
      </c>
      <c r="E85" s="123" t="s">
        <v>42</v>
      </c>
      <c r="F85" s="123" t="s">
        <v>164</v>
      </c>
      <c r="G85" s="120">
        <v>38331</v>
      </c>
      <c r="H85" s="123">
        <v>11</v>
      </c>
      <c r="I85" s="123" t="s">
        <v>363</v>
      </c>
      <c r="J85" s="123" t="s">
        <v>371</v>
      </c>
      <c r="K85" s="123" t="s">
        <v>58</v>
      </c>
      <c r="L85" s="123" t="s">
        <v>365</v>
      </c>
      <c r="M85" s="123" t="s">
        <v>261</v>
      </c>
      <c r="N85" s="4"/>
      <c r="O85" s="4"/>
      <c r="P85" s="4"/>
      <c r="Q85" s="4"/>
      <c r="R85" s="4"/>
      <c r="S85" s="4"/>
      <c r="T85" s="4"/>
    </row>
    <row r="86" spans="1:20" ht="15" customHeight="1" thickBot="1">
      <c r="A86" s="23"/>
      <c r="B86" s="23">
        <v>79</v>
      </c>
      <c r="C86" s="123" t="s">
        <v>38</v>
      </c>
      <c r="D86" s="123" t="s">
        <v>372</v>
      </c>
      <c r="E86" s="123" t="s">
        <v>326</v>
      </c>
      <c r="F86" s="123" t="s">
        <v>373</v>
      </c>
      <c r="G86" s="120">
        <v>38455</v>
      </c>
      <c r="H86" s="123">
        <v>10</v>
      </c>
      <c r="I86" s="123" t="s">
        <v>374</v>
      </c>
      <c r="J86" s="123" t="s">
        <v>375</v>
      </c>
      <c r="K86" s="123" t="s">
        <v>58</v>
      </c>
      <c r="L86" s="123" t="s">
        <v>365</v>
      </c>
      <c r="M86" s="123" t="s">
        <v>261</v>
      </c>
      <c r="N86" s="4"/>
      <c r="O86" s="4"/>
      <c r="P86" s="4"/>
      <c r="Q86" s="4"/>
      <c r="R86" s="4"/>
      <c r="S86" s="4"/>
      <c r="T86" s="4"/>
    </row>
    <row r="87" spans="1:20" ht="15" customHeight="1" thickBot="1">
      <c r="A87" s="23"/>
      <c r="B87" s="23">
        <v>80</v>
      </c>
      <c r="C87" s="123" t="s">
        <v>46</v>
      </c>
      <c r="D87" s="123" t="s">
        <v>376</v>
      </c>
      <c r="E87" s="123" t="s">
        <v>224</v>
      </c>
      <c r="F87" s="123" t="s">
        <v>116</v>
      </c>
      <c r="G87" s="120">
        <v>38994</v>
      </c>
      <c r="H87" s="123">
        <v>9</v>
      </c>
      <c r="I87" s="123">
        <v>7</v>
      </c>
      <c r="J87" s="123" t="s">
        <v>375</v>
      </c>
      <c r="K87" s="123" t="s">
        <v>58</v>
      </c>
      <c r="L87" s="123" t="s">
        <v>365</v>
      </c>
      <c r="M87" s="123" t="s">
        <v>262</v>
      </c>
      <c r="N87" s="4"/>
      <c r="O87" s="4"/>
      <c r="P87" s="4"/>
      <c r="Q87" s="4"/>
      <c r="R87" s="4"/>
      <c r="S87" s="4"/>
      <c r="T87" s="4"/>
    </row>
    <row r="88" spans="1:20" ht="15" customHeight="1" thickBot="1">
      <c r="A88" s="23"/>
      <c r="B88" s="23">
        <v>81</v>
      </c>
      <c r="C88" s="123" t="s">
        <v>38</v>
      </c>
      <c r="D88" s="123" t="s">
        <v>377</v>
      </c>
      <c r="E88" s="123" t="s">
        <v>378</v>
      </c>
      <c r="F88" s="123" t="s">
        <v>59</v>
      </c>
      <c r="G88" s="120">
        <v>39082</v>
      </c>
      <c r="H88" s="123">
        <v>9</v>
      </c>
      <c r="I88" s="123">
        <v>6</v>
      </c>
      <c r="J88" s="123" t="s">
        <v>375</v>
      </c>
      <c r="K88" s="123" t="s">
        <v>58</v>
      </c>
      <c r="L88" s="123" t="s">
        <v>365</v>
      </c>
      <c r="M88" s="123" t="s">
        <v>262</v>
      </c>
      <c r="N88" s="4"/>
      <c r="O88" s="4"/>
      <c r="P88" s="4"/>
      <c r="Q88" s="4"/>
      <c r="R88" s="4"/>
      <c r="S88" s="4"/>
      <c r="T88" s="4"/>
    </row>
    <row r="89" spans="1:20" ht="15" customHeight="1" thickBot="1">
      <c r="A89" s="23"/>
      <c r="B89" s="23">
        <v>82</v>
      </c>
      <c r="C89" s="123" t="s">
        <v>38</v>
      </c>
      <c r="D89" s="123" t="s">
        <v>379</v>
      </c>
      <c r="E89" s="123" t="s">
        <v>93</v>
      </c>
      <c r="F89" s="123" t="s">
        <v>67</v>
      </c>
      <c r="G89" s="120">
        <v>38599</v>
      </c>
      <c r="H89" s="123">
        <v>10</v>
      </c>
      <c r="I89" s="123">
        <v>6</v>
      </c>
      <c r="J89" s="123" t="s">
        <v>380</v>
      </c>
      <c r="K89" s="123" t="s">
        <v>58</v>
      </c>
      <c r="L89" s="123" t="s">
        <v>365</v>
      </c>
      <c r="M89" s="123" t="s">
        <v>262</v>
      </c>
      <c r="N89" s="4"/>
      <c r="O89" s="4"/>
      <c r="P89" s="4"/>
      <c r="Q89" s="4"/>
      <c r="R89" s="4"/>
      <c r="S89" s="4"/>
      <c r="T89" s="4"/>
    </row>
    <row r="90" spans="1:20" ht="15" customHeight="1" thickBot="1">
      <c r="A90" s="23"/>
      <c r="B90" s="23">
        <v>83</v>
      </c>
      <c r="C90" s="123" t="s">
        <v>38</v>
      </c>
      <c r="D90" s="123" t="s">
        <v>381</v>
      </c>
      <c r="E90" s="123" t="s">
        <v>151</v>
      </c>
      <c r="F90" s="123" t="s">
        <v>162</v>
      </c>
      <c r="G90" s="120">
        <v>39422</v>
      </c>
      <c r="H90" s="123">
        <v>8</v>
      </c>
      <c r="I90" s="123">
        <v>9</v>
      </c>
      <c r="J90" s="123" t="s">
        <v>382</v>
      </c>
      <c r="K90" s="123" t="s">
        <v>58</v>
      </c>
      <c r="L90" s="123" t="s">
        <v>365</v>
      </c>
      <c r="M90" s="123" t="s">
        <v>263</v>
      </c>
      <c r="N90" s="4"/>
      <c r="O90" s="4"/>
      <c r="P90" s="4"/>
      <c r="Q90" s="4"/>
      <c r="R90" s="4"/>
      <c r="S90" s="4"/>
      <c r="T90" s="4"/>
    </row>
    <row r="91" spans="1:20" ht="15" customHeight="1" thickBot="1">
      <c r="A91" s="23"/>
      <c r="B91" s="23">
        <v>84</v>
      </c>
      <c r="C91" s="114" t="s">
        <v>38</v>
      </c>
      <c r="D91" s="114" t="s">
        <v>383</v>
      </c>
      <c r="E91" s="114" t="s">
        <v>61</v>
      </c>
      <c r="F91" s="114" t="s">
        <v>54</v>
      </c>
      <c r="G91" s="120">
        <v>38825</v>
      </c>
      <c r="H91" s="114">
        <v>9</v>
      </c>
      <c r="I91" s="114">
        <v>10</v>
      </c>
      <c r="J91" s="114" t="s">
        <v>384</v>
      </c>
      <c r="K91" s="114" t="s">
        <v>58</v>
      </c>
      <c r="L91" s="114" t="s">
        <v>365</v>
      </c>
      <c r="M91" s="114" t="s">
        <v>263</v>
      </c>
      <c r="N91" s="4"/>
      <c r="O91" s="4"/>
      <c r="P91" s="4"/>
      <c r="Q91" s="4"/>
      <c r="R91" s="4"/>
      <c r="S91" s="4"/>
      <c r="T91" s="4"/>
    </row>
    <row r="92" spans="1:20" ht="15" customHeight="1" thickBot="1">
      <c r="A92" s="23"/>
      <c r="B92" s="23">
        <v>85</v>
      </c>
      <c r="C92" s="114" t="s">
        <v>38</v>
      </c>
      <c r="D92" s="114" t="s">
        <v>385</v>
      </c>
      <c r="E92" s="114" t="s">
        <v>386</v>
      </c>
      <c r="F92" s="114" t="s">
        <v>54</v>
      </c>
      <c r="G92" s="120">
        <v>38139</v>
      </c>
      <c r="H92" s="114">
        <v>11</v>
      </c>
      <c r="I92" s="114">
        <v>8</v>
      </c>
      <c r="J92" s="114" t="s">
        <v>387</v>
      </c>
      <c r="K92" s="114" t="s">
        <v>58</v>
      </c>
      <c r="L92" s="114" t="s">
        <v>365</v>
      </c>
      <c r="M92" s="114" t="s">
        <v>263</v>
      </c>
      <c r="N92" s="4"/>
      <c r="O92" s="4"/>
      <c r="P92" s="4"/>
      <c r="Q92" s="4"/>
      <c r="R92" s="4"/>
      <c r="S92" s="4"/>
      <c r="T92" s="4"/>
    </row>
    <row r="93" spans="1:20" ht="15" customHeight="1" thickBot="1">
      <c r="A93" s="23"/>
      <c r="B93" s="23">
        <v>86</v>
      </c>
      <c r="C93" s="114" t="s">
        <v>46</v>
      </c>
      <c r="D93" s="114" t="s">
        <v>388</v>
      </c>
      <c r="E93" s="114" t="s">
        <v>389</v>
      </c>
      <c r="F93" s="114" t="s">
        <v>390</v>
      </c>
      <c r="G93" s="120">
        <v>38484</v>
      </c>
      <c r="H93" s="114">
        <v>10</v>
      </c>
      <c r="I93" s="114">
        <v>9</v>
      </c>
      <c r="J93" s="114" t="s">
        <v>391</v>
      </c>
      <c r="K93" s="114" t="s">
        <v>58</v>
      </c>
      <c r="L93" s="114" t="s">
        <v>365</v>
      </c>
      <c r="M93" s="114" t="s">
        <v>263</v>
      </c>
      <c r="N93" s="4"/>
      <c r="O93" s="4"/>
      <c r="P93" s="4"/>
      <c r="Q93" s="4"/>
      <c r="R93" s="4"/>
      <c r="S93" s="4"/>
      <c r="T93" s="4"/>
    </row>
    <row r="94" spans="1:20" ht="15" customHeight="1" thickBot="1">
      <c r="A94" s="23"/>
      <c r="B94" s="23">
        <v>87</v>
      </c>
      <c r="C94" s="114" t="s">
        <v>38</v>
      </c>
      <c r="D94" s="114" t="s">
        <v>88</v>
      </c>
      <c r="E94" s="114" t="s">
        <v>89</v>
      </c>
      <c r="F94" s="114" t="s">
        <v>54</v>
      </c>
      <c r="G94" s="120">
        <v>39110</v>
      </c>
      <c r="H94" s="114">
        <v>9</v>
      </c>
      <c r="I94" s="114">
        <v>10</v>
      </c>
      <c r="J94" s="114">
        <v>36</v>
      </c>
      <c r="K94" s="114" t="s">
        <v>392</v>
      </c>
      <c r="L94" s="114" t="s">
        <v>393</v>
      </c>
      <c r="M94" s="114" t="s">
        <v>72</v>
      </c>
      <c r="N94" s="4"/>
      <c r="O94" s="4"/>
      <c r="P94" s="4"/>
      <c r="Q94" s="4"/>
      <c r="R94" s="4"/>
      <c r="S94" s="4"/>
      <c r="T94" s="4"/>
    </row>
    <row r="95" spans="1:20" ht="15" customHeight="1" thickBot="1">
      <c r="A95" s="23"/>
      <c r="B95" s="23">
        <v>88</v>
      </c>
      <c r="C95" s="114" t="s">
        <v>38</v>
      </c>
      <c r="D95" s="114" t="s">
        <v>92</v>
      </c>
      <c r="E95" s="114" t="s">
        <v>77</v>
      </c>
      <c r="F95" s="114" t="s">
        <v>91</v>
      </c>
      <c r="G95" s="120">
        <v>38795</v>
      </c>
      <c r="H95" s="114">
        <v>9</v>
      </c>
      <c r="I95" s="114">
        <v>8</v>
      </c>
      <c r="J95" s="114">
        <v>43</v>
      </c>
      <c r="K95" s="114" t="s">
        <v>394</v>
      </c>
      <c r="L95" s="114" t="s">
        <v>393</v>
      </c>
      <c r="M95" s="114" t="s">
        <v>72</v>
      </c>
      <c r="N95" s="4"/>
      <c r="O95" s="4"/>
      <c r="P95" s="4"/>
      <c r="Q95" s="4"/>
      <c r="R95" s="4"/>
      <c r="S95" s="4"/>
      <c r="T95" s="4"/>
    </row>
    <row r="96" spans="1:20" ht="15" customHeight="1" thickBot="1">
      <c r="A96" s="23"/>
      <c r="B96" s="23">
        <v>89</v>
      </c>
      <c r="C96" s="114" t="s">
        <v>38</v>
      </c>
      <c r="D96" s="114" t="s">
        <v>83</v>
      </c>
      <c r="E96" s="114" t="s">
        <v>40</v>
      </c>
      <c r="F96" s="114" t="s">
        <v>84</v>
      </c>
      <c r="G96" s="120">
        <v>39098</v>
      </c>
      <c r="H96" s="114">
        <v>9</v>
      </c>
      <c r="I96" s="114">
        <v>8</v>
      </c>
      <c r="J96" s="114">
        <v>27</v>
      </c>
      <c r="K96" s="114" t="s">
        <v>395</v>
      </c>
      <c r="L96" s="114" t="s">
        <v>393</v>
      </c>
      <c r="M96" s="114" t="s">
        <v>72</v>
      </c>
      <c r="N96" s="4"/>
      <c r="O96" s="4"/>
      <c r="P96" s="4"/>
      <c r="Q96" s="4"/>
      <c r="R96" s="4"/>
      <c r="S96" s="4"/>
      <c r="T96" s="4"/>
    </row>
    <row r="97" spans="1:20" ht="15" customHeight="1" thickBot="1">
      <c r="A97" s="23"/>
      <c r="B97" s="23">
        <v>90</v>
      </c>
      <c r="C97" s="114" t="s">
        <v>38</v>
      </c>
      <c r="D97" s="114" t="s">
        <v>85</v>
      </c>
      <c r="E97" s="114" t="s">
        <v>86</v>
      </c>
      <c r="F97" s="114" t="s">
        <v>87</v>
      </c>
      <c r="G97" s="120">
        <v>39046</v>
      </c>
      <c r="H97" s="114">
        <v>9</v>
      </c>
      <c r="I97" s="114">
        <v>8</v>
      </c>
      <c r="J97" s="114">
        <v>32</v>
      </c>
      <c r="K97" s="114" t="s">
        <v>396</v>
      </c>
      <c r="L97" s="114" t="s">
        <v>393</v>
      </c>
      <c r="M97" s="114" t="s">
        <v>72</v>
      </c>
      <c r="N97" s="4"/>
      <c r="O97" s="4"/>
      <c r="P97" s="4"/>
      <c r="Q97" s="4"/>
      <c r="R97" s="4"/>
      <c r="S97" s="4"/>
      <c r="T97" s="4"/>
    </row>
    <row r="98" spans="1:20" ht="15" customHeight="1" thickBot="1">
      <c r="A98" s="23"/>
      <c r="B98" s="23">
        <v>91</v>
      </c>
      <c r="C98" s="114" t="s">
        <v>38</v>
      </c>
      <c r="D98" s="114" t="s">
        <v>64</v>
      </c>
      <c r="E98" s="114" t="s">
        <v>89</v>
      </c>
      <c r="F98" s="114" t="s">
        <v>82</v>
      </c>
      <c r="G98" s="120">
        <v>38225</v>
      </c>
      <c r="H98" s="114">
        <v>11</v>
      </c>
      <c r="I98" s="114">
        <v>9</v>
      </c>
      <c r="J98" s="114">
        <v>59</v>
      </c>
      <c r="K98" s="114" t="s">
        <v>397</v>
      </c>
      <c r="L98" s="114" t="s">
        <v>393</v>
      </c>
      <c r="M98" s="114" t="s">
        <v>72</v>
      </c>
      <c r="N98" s="4"/>
      <c r="O98" s="4"/>
      <c r="P98" s="4"/>
      <c r="Q98" s="4"/>
      <c r="R98" s="4"/>
      <c r="S98" s="4"/>
      <c r="T98" s="4"/>
    </row>
    <row r="99" spans="1:20" ht="15" customHeight="1" thickBot="1">
      <c r="A99" s="23"/>
      <c r="B99" s="23">
        <v>92</v>
      </c>
      <c r="C99" s="114" t="s">
        <v>46</v>
      </c>
      <c r="D99" s="114" t="s">
        <v>94</v>
      </c>
      <c r="E99" s="114" t="s">
        <v>95</v>
      </c>
      <c r="F99" s="114" t="s">
        <v>96</v>
      </c>
      <c r="G99" s="120">
        <v>39973</v>
      </c>
      <c r="H99" s="114">
        <v>8</v>
      </c>
      <c r="I99" s="114">
        <v>10</v>
      </c>
      <c r="J99" s="114">
        <v>28</v>
      </c>
      <c r="K99" s="114" t="s">
        <v>396</v>
      </c>
      <c r="L99" s="114" t="s">
        <v>393</v>
      </c>
      <c r="M99" s="114" t="s">
        <v>72</v>
      </c>
      <c r="N99" s="4"/>
      <c r="O99" s="4"/>
      <c r="P99" s="4"/>
      <c r="Q99" s="4"/>
      <c r="R99" s="4"/>
      <c r="S99" s="4"/>
      <c r="T99" s="4"/>
    </row>
    <row r="100" spans="1:20" ht="15" customHeight="1" thickBot="1">
      <c r="A100" s="23"/>
      <c r="B100" s="23">
        <v>93</v>
      </c>
      <c r="C100" s="114" t="s">
        <v>38</v>
      </c>
      <c r="D100" s="114" t="s">
        <v>76</v>
      </c>
      <c r="E100" s="114" t="s">
        <v>77</v>
      </c>
      <c r="F100" s="114" t="s">
        <v>78</v>
      </c>
      <c r="G100" s="120">
        <v>39437</v>
      </c>
      <c r="H100" s="114">
        <v>8</v>
      </c>
      <c r="I100" s="114">
        <v>10</v>
      </c>
      <c r="J100" s="114">
        <v>39</v>
      </c>
      <c r="K100" s="114" t="s">
        <v>392</v>
      </c>
      <c r="L100" s="114" t="s">
        <v>393</v>
      </c>
      <c r="M100" s="114" t="s">
        <v>72</v>
      </c>
      <c r="N100" s="4"/>
      <c r="O100" s="4"/>
      <c r="P100" s="4"/>
      <c r="Q100" s="4"/>
      <c r="R100" s="4"/>
      <c r="S100" s="4"/>
      <c r="T100" s="4"/>
    </row>
    <row r="101" spans="1:20" ht="15" customHeight="1" thickBot="1">
      <c r="A101" s="23"/>
      <c r="B101" s="23">
        <v>94</v>
      </c>
      <c r="C101" s="114" t="s">
        <v>38</v>
      </c>
      <c r="D101" s="114" t="s">
        <v>398</v>
      </c>
      <c r="E101" s="114" t="s">
        <v>43</v>
      </c>
      <c r="F101" s="114" t="s">
        <v>399</v>
      </c>
      <c r="G101" s="120">
        <v>39405</v>
      </c>
      <c r="H101" s="114">
        <v>8</v>
      </c>
      <c r="I101" s="114">
        <v>10</v>
      </c>
      <c r="J101" s="114">
        <v>28</v>
      </c>
      <c r="K101" s="114" t="s">
        <v>58</v>
      </c>
      <c r="L101" s="114" t="s">
        <v>393</v>
      </c>
      <c r="M101" s="114" t="s">
        <v>265</v>
      </c>
      <c r="N101" s="4"/>
      <c r="O101" s="4"/>
      <c r="P101" s="4"/>
      <c r="Q101" s="4"/>
      <c r="R101" s="4"/>
      <c r="S101" s="4"/>
      <c r="T101" s="4"/>
    </row>
    <row r="102" spans="1:20" ht="15" customHeight="1" thickBot="1">
      <c r="A102" s="23"/>
      <c r="B102" s="23">
        <v>95</v>
      </c>
      <c r="C102" s="114" t="s">
        <v>38</v>
      </c>
      <c r="D102" s="114" t="s">
        <v>400</v>
      </c>
      <c r="E102" s="114" t="s">
        <v>151</v>
      </c>
      <c r="F102" s="114" t="s">
        <v>67</v>
      </c>
      <c r="G102" s="120">
        <v>39272</v>
      </c>
      <c r="H102" s="114">
        <v>8</v>
      </c>
      <c r="I102" s="114">
        <v>6</v>
      </c>
      <c r="J102" s="114">
        <v>37</v>
      </c>
      <c r="K102" s="114" t="s">
        <v>58</v>
      </c>
      <c r="L102" s="114" t="s">
        <v>393</v>
      </c>
      <c r="M102" s="114" t="s">
        <v>265</v>
      </c>
      <c r="N102" s="4"/>
      <c r="O102" s="4"/>
      <c r="P102" s="4"/>
      <c r="Q102" s="4"/>
      <c r="R102" s="4"/>
      <c r="S102" s="4"/>
      <c r="T102" s="4"/>
    </row>
    <row r="103" spans="1:20" ht="15" customHeight="1" thickBot="1">
      <c r="A103" s="23"/>
      <c r="B103" s="23">
        <v>96</v>
      </c>
      <c r="C103" s="114" t="s">
        <v>38</v>
      </c>
      <c r="D103" s="114" t="s">
        <v>401</v>
      </c>
      <c r="E103" s="114" t="s">
        <v>89</v>
      </c>
      <c r="F103" s="114" t="s">
        <v>54</v>
      </c>
      <c r="G103" s="120">
        <v>38987</v>
      </c>
      <c r="H103" s="114">
        <v>9</v>
      </c>
      <c r="I103" s="114">
        <v>10</v>
      </c>
      <c r="J103" s="114">
        <v>23</v>
      </c>
      <c r="K103" s="114" t="s">
        <v>58</v>
      </c>
      <c r="L103" s="114" t="s">
        <v>393</v>
      </c>
      <c r="M103" s="114" t="s">
        <v>402</v>
      </c>
      <c r="N103" s="4"/>
      <c r="O103" s="4"/>
      <c r="P103" s="4"/>
      <c r="Q103" s="4"/>
      <c r="R103" s="4"/>
      <c r="S103" s="4"/>
      <c r="T103" s="4"/>
    </row>
    <row r="104" spans="1:20" ht="15" customHeight="1" thickBot="1">
      <c r="A104" s="23"/>
      <c r="B104" s="23">
        <v>97</v>
      </c>
      <c r="C104" s="114" t="s">
        <v>38</v>
      </c>
      <c r="D104" s="114" t="s">
        <v>403</v>
      </c>
      <c r="E104" s="114" t="s">
        <v>47</v>
      </c>
      <c r="F104" s="114" t="s">
        <v>54</v>
      </c>
      <c r="G104" s="120">
        <v>38880</v>
      </c>
      <c r="H104" s="114">
        <v>9</v>
      </c>
      <c r="I104" s="114">
        <v>6</v>
      </c>
      <c r="J104" s="114">
        <v>29</v>
      </c>
      <c r="K104" s="114" t="s">
        <v>58</v>
      </c>
      <c r="L104" s="114" t="s">
        <v>393</v>
      </c>
      <c r="M104" s="114" t="s">
        <v>402</v>
      </c>
      <c r="N104" s="4"/>
      <c r="O104" s="4"/>
      <c r="P104" s="4"/>
      <c r="Q104" s="4"/>
      <c r="R104" s="4"/>
      <c r="S104" s="4"/>
      <c r="T104" s="4"/>
    </row>
    <row r="105" spans="1:20" ht="15" customHeight="1" thickBot="1">
      <c r="A105" s="23"/>
      <c r="B105" s="23">
        <v>98</v>
      </c>
      <c r="C105" s="114" t="s">
        <v>38</v>
      </c>
      <c r="D105" s="114" t="s">
        <v>404</v>
      </c>
      <c r="E105" s="114" t="s">
        <v>405</v>
      </c>
      <c r="F105" s="114" t="s">
        <v>232</v>
      </c>
      <c r="G105" s="120">
        <v>39145</v>
      </c>
      <c r="H105" s="114">
        <v>9</v>
      </c>
      <c r="I105" s="114">
        <v>9</v>
      </c>
      <c r="J105" s="114">
        <v>28</v>
      </c>
      <c r="K105" s="114" t="s">
        <v>58</v>
      </c>
      <c r="L105" s="114" t="s">
        <v>393</v>
      </c>
      <c r="M105" s="114" t="s">
        <v>402</v>
      </c>
      <c r="N105" s="4"/>
      <c r="O105" s="4"/>
      <c r="P105" s="4"/>
      <c r="Q105" s="4"/>
      <c r="R105" s="4"/>
      <c r="S105" s="4"/>
      <c r="T105" s="4"/>
    </row>
    <row r="106" spans="1:20" ht="15" customHeight="1" thickBot="1">
      <c r="A106" s="23"/>
      <c r="B106" s="23">
        <v>99</v>
      </c>
      <c r="C106" s="114" t="s">
        <v>38</v>
      </c>
      <c r="D106" s="114" t="s">
        <v>406</v>
      </c>
      <c r="E106" s="114" t="s">
        <v>68</v>
      </c>
      <c r="F106" s="114" t="s">
        <v>54</v>
      </c>
      <c r="G106" s="120">
        <v>38777</v>
      </c>
      <c r="H106" s="114">
        <v>10</v>
      </c>
      <c r="I106" s="114">
        <v>9</v>
      </c>
      <c r="J106" s="114">
        <v>37</v>
      </c>
      <c r="K106" s="114" t="s">
        <v>58</v>
      </c>
      <c r="L106" s="114" t="s">
        <v>393</v>
      </c>
      <c r="M106" s="114" t="s">
        <v>402</v>
      </c>
      <c r="N106" s="4"/>
      <c r="O106" s="4"/>
      <c r="P106" s="4"/>
      <c r="Q106" s="4"/>
      <c r="R106" s="4"/>
      <c r="S106" s="4"/>
      <c r="T106" s="4"/>
    </row>
    <row r="107" spans="1:20" ht="15" customHeight="1" thickBot="1">
      <c r="A107" s="23"/>
      <c r="B107" s="23">
        <v>100</v>
      </c>
      <c r="C107" s="114" t="s">
        <v>38</v>
      </c>
      <c r="D107" s="114" t="s">
        <v>407</v>
      </c>
      <c r="E107" s="114" t="s">
        <v>49</v>
      </c>
      <c r="F107" s="114" t="s">
        <v>149</v>
      </c>
      <c r="G107" s="120">
        <v>38145</v>
      </c>
      <c r="H107" s="114">
        <v>11</v>
      </c>
      <c r="I107" s="114">
        <v>6</v>
      </c>
      <c r="J107" s="114">
        <v>36</v>
      </c>
      <c r="K107" s="114" t="s">
        <v>58</v>
      </c>
      <c r="L107" s="114" t="s">
        <v>393</v>
      </c>
      <c r="M107" s="114" t="s">
        <v>265</v>
      </c>
      <c r="N107" s="4"/>
      <c r="O107" s="4"/>
      <c r="P107" s="4"/>
      <c r="Q107" s="4"/>
      <c r="R107" s="4"/>
      <c r="S107" s="4"/>
      <c r="T107" s="4"/>
    </row>
    <row r="108" spans="1:20" ht="15" customHeight="1" thickBot="1">
      <c r="A108" s="23"/>
      <c r="B108" s="23">
        <v>101</v>
      </c>
      <c r="C108" s="114" t="s">
        <v>38</v>
      </c>
      <c r="D108" s="114" t="s">
        <v>234</v>
      </c>
      <c r="E108" s="114" t="s">
        <v>48</v>
      </c>
      <c r="F108" s="114" t="s">
        <v>67</v>
      </c>
      <c r="G108" s="120">
        <v>38163</v>
      </c>
      <c r="H108" s="114">
        <v>11</v>
      </c>
      <c r="I108" s="114">
        <v>8</v>
      </c>
      <c r="J108" s="114">
        <v>49</v>
      </c>
      <c r="K108" s="114" t="s">
        <v>58</v>
      </c>
      <c r="L108" s="114" t="s">
        <v>393</v>
      </c>
      <c r="M108" s="114" t="s">
        <v>402</v>
      </c>
      <c r="N108" s="4"/>
      <c r="O108" s="4"/>
      <c r="P108" s="4"/>
      <c r="Q108" s="4"/>
      <c r="R108" s="4"/>
      <c r="S108" s="4"/>
      <c r="T108" s="4"/>
    </row>
    <row r="109" spans="1:20" ht="15" customHeight="1" thickBot="1">
      <c r="A109" s="23"/>
      <c r="B109" s="23">
        <v>102</v>
      </c>
      <c r="C109" s="114" t="s">
        <v>38</v>
      </c>
      <c r="D109" s="114" t="s">
        <v>233</v>
      </c>
      <c r="E109" s="114" t="s">
        <v>183</v>
      </c>
      <c r="F109" s="114" t="s">
        <v>141</v>
      </c>
      <c r="G109" s="120">
        <v>38199</v>
      </c>
      <c r="H109" s="114">
        <v>11</v>
      </c>
      <c r="I109" s="114">
        <v>7</v>
      </c>
      <c r="J109" s="114">
        <v>35</v>
      </c>
      <c r="K109" s="114" t="s">
        <v>58</v>
      </c>
      <c r="L109" s="114" t="s">
        <v>393</v>
      </c>
      <c r="M109" s="114" t="s">
        <v>402</v>
      </c>
      <c r="N109" s="4"/>
      <c r="O109" s="4"/>
      <c r="P109" s="4"/>
      <c r="Q109" s="4"/>
      <c r="R109" s="4"/>
      <c r="S109" s="4"/>
      <c r="T109" s="4"/>
    </row>
    <row r="110" spans="1:20" ht="15" customHeight="1" thickBot="1">
      <c r="A110" s="23"/>
      <c r="B110" s="23">
        <v>103</v>
      </c>
      <c r="C110" s="114" t="s">
        <v>38</v>
      </c>
      <c r="D110" s="114" t="s">
        <v>75</v>
      </c>
      <c r="E110" s="114" t="s">
        <v>57</v>
      </c>
      <c r="F110" s="114" t="s">
        <v>54</v>
      </c>
      <c r="G110" s="120">
        <v>38081</v>
      </c>
      <c r="H110" s="114">
        <v>11</v>
      </c>
      <c r="I110" s="114">
        <v>6</v>
      </c>
      <c r="J110" s="114" t="s">
        <v>408</v>
      </c>
      <c r="K110" s="114" t="s">
        <v>394</v>
      </c>
      <c r="L110" s="114" t="s">
        <v>393</v>
      </c>
      <c r="M110" s="114" t="s">
        <v>72</v>
      </c>
      <c r="N110" s="4"/>
      <c r="O110" s="4"/>
      <c r="P110" s="4"/>
      <c r="Q110" s="4"/>
      <c r="R110" s="4"/>
      <c r="S110" s="4"/>
      <c r="T110" s="4"/>
    </row>
    <row r="111" spans="1:20" ht="15" customHeight="1" thickBot="1">
      <c r="A111" s="23"/>
      <c r="B111" s="23">
        <v>104</v>
      </c>
      <c r="C111" s="114" t="s">
        <v>38</v>
      </c>
      <c r="D111" s="114" t="s">
        <v>163</v>
      </c>
      <c r="E111" s="114" t="s">
        <v>51</v>
      </c>
      <c r="F111" s="114" t="s">
        <v>78</v>
      </c>
      <c r="G111" s="120">
        <v>39104</v>
      </c>
      <c r="H111" s="114">
        <v>9</v>
      </c>
      <c r="I111" s="114">
        <v>10</v>
      </c>
      <c r="J111" s="114">
        <v>32</v>
      </c>
      <c r="K111" s="114" t="s">
        <v>58</v>
      </c>
      <c r="L111" s="114" t="s">
        <v>409</v>
      </c>
      <c r="M111" s="114" t="s">
        <v>150</v>
      </c>
      <c r="N111" s="4"/>
      <c r="O111" s="4"/>
      <c r="P111" s="4"/>
      <c r="Q111" s="4"/>
      <c r="R111" s="4"/>
      <c r="S111" s="4"/>
      <c r="T111" s="4"/>
    </row>
    <row r="112" spans="1:20" ht="15" customHeight="1" thickBot="1">
      <c r="A112" s="23"/>
      <c r="B112" s="23">
        <v>105</v>
      </c>
      <c r="C112" s="114" t="s">
        <v>38</v>
      </c>
      <c r="D112" s="114" t="s">
        <v>410</v>
      </c>
      <c r="E112" s="114" t="s">
        <v>50</v>
      </c>
      <c r="F112" s="114" t="s">
        <v>74</v>
      </c>
      <c r="G112" s="120">
        <v>38840</v>
      </c>
      <c r="H112" s="114">
        <v>9</v>
      </c>
      <c r="I112" s="114">
        <v>9</v>
      </c>
      <c r="J112" s="114">
        <v>37.799999999999997</v>
      </c>
      <c r="K112" s="114" t="s">
        <v>58</v>
      </c>
      <c r="L112" s="114" t="s">
        <v>409</v>
      </c>
      <c r="M112" s="114" t="s">
        <v>150</v>
      </c>
      <c r="N112" s="4"/>
      <c r="O112" s="4"/>
      <c r="P112" s="4"/>
      <c r="Q112" s="4"/>
      <c r="R112" s="4"/>
      <c r="S112" s="4"/>
      <c r="T112" s="4"/>
    </row>
    <row r="113" spans="1:20" ht="15" customHeight="1" thickBot="1">
      <c r="A113" s="23"/>
      <c r="B113" s="23">
        <v>106</v>
      </c>
      <c r="C113" s="114" t="s">
        <v>38</v>
      </c>
      <c r="D113" s="114" t="s">
        <v>167</v>
      </c>
      <c r="E113" s="114" t="s">
        <v>39</v>
      </c>
      <c r="F113" s="114" t="s">
        <v>67</v>
      </c>
      <c r="G113" s="120">
        <v>39002</v>
      </c>
      <c r="H113" s="114">
        <v>9</v>
      </c>
      <c r="I113" s="114">
        <v>10</v>
      </c>
      <c r="J113" s="114">
        <v>36</v>
      </c>
      <c r="K113" s="114" t="s">
        <v>58</v>
      </c>
      <c r="L113" s="114" t="s">
        <v>409</v>
      </c>
      <c r="M113" s="114" t="s">
        <v>150</v>
      </c>
      <c r="N113" s="4"/>
      <c r="O113" s="4"/>
      <c r="P113" s="4"/>
      <c r="Q113" s="4"/>
      <c r="R113" s="4"/>
      <c r="S113" s="4"/>
      <c r="T113" s="4"/>
    </row>
    <row r="114" spans="1:20" ht="15" customHeight="1" thickBot="1">
      <c r="A114" s="23"/>
      <c r="B114" s="23">
        <v>107</v>
      </c>
      <c r="C114" s="114" t="s">
        <v>46</v>
      </c>
      <c r="D114" s="114" t="s">
        <v>157</v>
      </c>
      <c r="E114" s="114" t="s">
        <v>158</v>
      </c>
      <c r="F114" s="114" t="s">
        <v>159</v>
      </c>
      <c r="G114" s="120">
        <v>39497</v>
      </c>
      <c r="H114" s="114">
        <v>8</v>
      </c>
      <c r="I114" s="114">
        <v>9</v>
      </c>
      <c r="J114" s="114">
        <v>28</v>
      </c>
      <c r="K114" s="114" t="s">
        <v>58</v>
      </c>
      <c r="L114" s="114" t="s">
        <v>409</v>
      </c>
      <c r="M114" s="114" t="s">
        <v>154</v>
      </c>
      <c r="N114" s="4"/>
      <c r="O114" s="4"/>
      <c r="P114" s="4"/>
      <c r="Q114" s="4"/>
      <c r="R114" s="4"/>
      <c r="S114" s="4"/>
      <c r="T114" s="4"/>
    </row>
    <row r="115" spans="1:20" ht="15" customHeight="1" thickBot="1">
      <c r="A115" s="23"/>
      <c r="B115" s="23">
        <v>108</v>
      </c>
      <c r="C115" s="114" t="s">
        <v>38</v>
      </c>
      <c r="D115" s="114" t="s">
        <v>172</v>
      </c>
      <c r="E115" s="114" t="s">
        <v>39</v>
      </c>
      <c r="F115" s="114" t="s">
        <v>173</v>
      </c>
      <c r="G115" s="120">
        <v>38211</v>
      </c>
      <c r="H115" s="114">
        <v>11</v>
      </c>
      <c r="I115" s="114">
        <v>6</v>
      </c>
      <c r="J115" s="114">
        <v>34.6</v>
      </c>
      <c r="K115" s="114" t="s">
        <v>58</v>
      </c>
      <c r="L115" s="114" t="s">
        <v>409</v>
      </c>
      <c r="M115" s="114" t="s">
        <v>150</v>
      </c>
      <c r="N115" s="4"/>
      <c r="O115" s="4"/>
      <c r="P115" s="4"/>
      <c r="Q115" s="4"/>
      <c r="R115" s="4"/>
      <c r="S115" s="4"/>
      <c r="T115" s="4"/>
    </row>
    <row r="116" spans="1:20" ht="15" customHeight="1" thickBot="1">
      <c r="A116" s="23"/>
      <c r="B116" s="23">
        <v>109</v>
      </c>
      <c r="C116" s="114" t="s">
        <v>38</v>
      </c>
      <c r="D116" s="114" t="s">
        <v>174</v>
      </c>
      <c r="E116" s="114" t="s">
        <v>39</v>
      </c>
      <c r="F116" s="114" t="s">
        <v>71</v>
      </c>
      <c r="G116" s="120">
        <v>38345</v>
      </c>
      <c r="H116" s="114">
        <v>11</v>
      </c>
      <c r="I116" s="114">
        <v>6</v>
      </c>
      <c r="J116" s="114">
        <v>34.5</v>
      </c>
      <c r="K116" s="114" t="s">
        <v>58</v>
      </c>
      <c r="L116" s="114" t="s">
        <v>409</v>
      </c>
      <c r="M116" s="114" t="s">
        <v>150</v>
      </c>
      <c r="N116" s="4"/>
      <c r="O116" s="4"/>
      <c r="P116" s="4"/>
      <c r="Q116" s="4"/>
      <c r="R116" s="4"/>
      <c r="S116" s="4"/>
      <c r="T116" s="4"/>
    </row>
    <row r="117" spans="1:20" ht="15" customHeight="1" thickBot="1">
      <c r="A117" s="23"/>
      <c r="B117" s="23">
        <v>110</v>
      </c>
      <c r="C117" s="114" t="s">
        <v>38</v>
      </c>
      <c r="D117" s="114" t="s">
        <v>175</v>
      </c>
      <c r="E117" s="114" t="s">
        <v>81</v>
      </c>
      <c r="F117" s="114" t="s">
        <v>54</v>
      </c>
      <c r="G117" s="120">
        <v>38371</v>
      </c>
      <c r="H117" s="114">
        <v>11</v>
      </c>
      <c r="I117" s="114">
        <v>8</v>
      </c>
      <c r="J117" s="114">
        <v>43.2</v>
      </c>
      <c r="K117" s="114" t="s">
        <v>58</v>
      </c>
      <c r="L117" s="114" t="s">
        <v>409</v>
      </c>
      <c r="M117" s="114" t="s">
        <v>150</v>
      </c>
      <c r="N117" s="4"/>
      <c r="O117" s="4"/>
      <c r="P117" s="4"/>
      <c r="Q117" s="4"/>
      <c r="R117" s="4"/>
      <c r="S117" s="4"/>
      <c r="T117" s="4"/>
    </row>
    <row r="118" spans="1:20" ht="15" customHeight="1" thickBot="1">
      <c r="A118" s="23"/>
      <c r="B118" s="23">
        <v>111</v>
      </c>
      <c r="C118" s="114" t="s">
        <v>46</v>
      </c>
      <c r="D118" s="114" t="s">
        <v>411</v>
      </c>
      <c r="E118" s="114" t="s">
        <v>412</v>
      </c>
      <c r="F118" s="114" t="s">
        <v>413</v>
      </c>
      <c r="G118" s="120" t="s">
        <v>414</v>
      </c>
      <c r="H118" s="114" t="s">
        <v>101</v>
      </c>
      <c r="I118" s="114" t="s">
        <v>101</v>
      </c>
      <c r="J118" s="114">
        <v>29</v>
      </c>
      <c r="K118" s="114" t="s">
        <v>415</v>
      </c>
      <c r="L118" s="114" t="s">
        <v>416</v>
      </c>
      <c r="M118" s="114" t="s">
        <v>417</v>
      </c>
      <c r="N118" s="4"/>
      <c r="O118" s="4"/>
      <c r="P118" s="4"/>
      <c r="Q118" s="4"/>
      <c r="R118" s="4"/>
      <c r="S118" s="4"/>
      <c r="T118" s="4"/>
    </row>
    <row r="119" spans="1:20" ht="15" customHeight="1" thickBot="1">
      <c r="A119" s="23"/>
      <c r="B119" s="23">
        <v>112</v>
      </c>
      <c r="C119" s="114" t="s">
        <v>38</v>
      </c>
      <c r="D119" s="114" t="s">
        <v>102</v>
      </c>
      <c r="E119" s="114" t="s">
        <v>103</v>
      </c>
      <c r="F119" s="114" t="s">
        <v>104</v>
      </c>
      <c r="G119" s="120" t="s">
        <v>105</v>
      </c>
      <c r="H119" s="114" t="s">
        <v>106</v>
      </c>
      <c r="I119" s="114" t="s">
        <v>418</v>
      </c>
      <c r="J119" s="114" t="s">
        <v>419</v>
      </c>
      <c r="K119" s="114" t="s">
        <v>420</v>
      </c>
      <c r="L119" s="114" t="s">
        <v>416</v>
      </c>
      <c r="M119" s="114" t="s">
        <v>421</v>
      </c>
      <c r="N119" s="4"/>
      <c r="O119" s="4"/>
      <c r="P119" s="4"/>
      <c r="Q119" s="4"/>
      <c r="R119" s="4"/>
      <c r="S119" s="4"/>
      <c r="T119" s="4"/>
    </row>
    <row r="120" spans="1:20" ht="15" customHeight="1" thickBot="1">
      <c r="A120" s="23"/>
      <c r="B120" s="23">
        <v>113</v>
      </c>
      <c r="C120" s="114" t="s">
        <v>38</v>
      </c>
      <c r="D120" s="114" t="s">
        <v>422</v>
      </c>
      <c r="E120" s="114" t="s">
        <v>423</v>
      </c>
      <c r="F120" s="114" t="s">
        <v>424</v>
      </c>
      <c r="G120" s="120" t="s">
        <v>425</v>
      </c>
      <c r="H120" s="114" t="s">
        <v>101</v>
      </c>
      <c r="I120" s="114" t="s">
        <v>101</v>
      </c>
      <c r="J120" s="114">
        <v>32</v>
      </c>
      <c r="K120" s="114" t="s">
        <v>420</v>
      </c>
      <c r="L120" s="114" t="s">
        <v>416</v>
      </c>
      <c r="M120" s="114" t="s">
        <v>417</v>
      </c>
      <c r="N120" s="4"/>
      <c r="O120" s="4"/>
      <c r="P120" s="4"/>
      <c r="Q120" s="4"/>
      <c r="R120" s="4"/>
      <c r="S120" s="4"/>
      <c r="T120" s="4"/>
    </row>
    <row r="121" spans="1:20" ht="15" customHeight="1" thickBot="1">
      <c r="A121" s="23"/>
      <c r="B121" s="23">
        <v>114</v>
      </c>
      <c r="C121" s="114" t="s">
        <v>38</v>
      </c>
      <c r="D121" s="114" t="s">
        <v>426</v>
      </c>
      <c r="E121" s="114" t="s">
        <v>210</v>
      </c>
      <c r="F121" s="114" t="s">
        <v>178</v>
      </c>
      <c r="G121" s="120">
        <v>38686</v>
      </c>
      <c r="H121" s="114">
        <v>10</v>
      </c>
      <c r="I121" s="114">
        <v>9</v>
      </c>
      <c r="J121" s="114">
        <v>43</v>
      </c>
      <c r="K121" s="114" t="s">
        <v>427</v>
      </c>
      <c r="L121" s="114" t="s">
        <v>416</v>
      </c>
      <c r="M121" s="114" t="s">
        <v>107</v>
      </c>
      <c r="N121" s="4"/>
      <c r="O121" s="4"/>
      <c r="P121" s="4"/>
      <c r="Q121" s="4"/>
      <c r="R121" s="4"/>
      <c r="S121" s="4"/>
      <c r="T121" s="4"/>
    </row>
    <row r="122" spans="1:20" ht="15" customHeight="1" thickBot="1">
      <c r="A122" s="23"/>
      <c r="B122" s="23">
        <v>115</v>
      </c>
      <c r="C122" s="114" t="s">
        <v>38</v>
      </c>
      <c r="D122" s="114" t="s">
        <v>428</v>
      </c>
      <c r="E122" s="114" t="s">
        <v>429</v>
      </c>
      <c r="F122" s="114" t="s">
        <v>152</v>
      </c>
      <c r="G122" s="120" t="s">
        <v>430</v>
      </c>
      <c r="H122" s="114">
        <v>10</v>
      </c>
      <c r="I122" s="114"/>
      <c r="J122" s="114">
        <v>29</v>
      </c>
      <c r="K122" s="114" t="s">
        <v>58</v>
      </c>
      <c r="L122" s="114" t="s">
        <v>431</v>
      </c>
      <c r="M122" s="114" t="s">
        <v>268</v>
      </c>
      <c r="N122" s="4"/>
      <c r="O122" s="4"/>
      <c r="P122" s="4"/>
      <c r="Q122" s="4"/>
      <c r="R122" s="4"/>
      <c r="S122" s="4"/>
      <c r="T122" s="4"/>
    </row>
    <row r="123" spans="1:20" ht="15" customHeight="1" thickBot="1">
      <c r="A123" s="23"/>
      <c r="B123" s="23">
        <v>116</v>
      </c>
      <c r="C123" s="114" t="s">
        <v>38</v>
      </c>
      <c r="D123" s="114" t="s">
        <v>432</v>
      </c>
      <c r="E123" s="114" t="s">
        <v>433</v>
      </c>
      <c r="F123" s="114" t="s">
        <v>82</v>
      </c>
      <c r="G123" s="120" t="s">
        <v>434</v>
      </c>
      <c r="H123" s="114">
        <v>11</v>
      </c>
      <c r="I123" s="114"/>
      <c r="J123" s="114">
        <v>39</v>
      </c>
      <c r="K123" s="114" t="s">
        <v>58</v>
      </c>
      <c r="L123" s="114" t="s">
        <v>431</v>
      </c>
      <c r="M123" s="114" t="s">
        <v>268</v>
      </c>
      <c r="N123" s="4"/>
      <c r="O123" s="4"/>
      <c r="P123" s="4"/>
      <c r="Q123" s="4"/>
      <c r="R123" s="4"/>
      <c r="S123" s="4"/>
      <c r="T123" s="4"/>
    </row>
    <row r="124" spans="1:20" ht="15" customHeight="1" thickBot="1">
      <c r="A124" s="23"/>
      <c r="B124" s="23">
        <v>117</v>
      </c>
      <c r="C124" s="114" t="s">
        <v>38</v>
      </c>
      <c r="D124" s="114" t="s">
        <v>435</v>
      </c>
      <c r="E124" s="114" t="s">
        <v>326</v>
      </c>
      <c r="F124" s="114" t="s">
        <v>161</v>
      </c>
      <c r="G124" s="120" t="s">
        <v>436</v>
      </c>
      <c r="H124" s="114">
        <v>10</v>
      </c>
      <c r="I124" s="114"/>
      <c r="J124" s="114">
        <v>31</v>
      </c>
      <c r="K124" s="114" t="s">
        <v>58</v>
      </c>
      <c r="L124" s="114" t="s">
        <v>431</v>
      </c>
      <c r="M124" s="114" t="s">
        <v>268</v>
      </c>
      <c r="N124" s="4"/>
      <c r="O124" s="4"/>
      <c r="P124" s="4"/>
      <c r="Q124" s="4"/>
      <c r="R124" s="4"/>
      <c r="S124" s="4"/>
      <c r="T124" s="4"/>
    </row>
    <row r="125" spans="1:20" ht="15" customHeight="1" thickBot="1">
      <c r="A125" s="23"/>
      <c r="B125" s="23">
        <v>118</v>
      </c>
      <c r="C125" s="114" t="s">
        <v>38</v>
      </c>
      <c r="D125" s="114" t="s">
        <v>437</v>
      </c>
      <c r="E125" s="114" t="s">
        <v>77</v>
      </c>
      <c r="F125" s="114" t="s">
        <v>438</v>
      </c>
      <c r="G125" s="120" t="s">
        <v>439</v>
      </c>
      <c r="H125" s="114">
        <v>10</v>
      </c>
      <c r="I125" s="114"/>
      <c r="J125" s="114">
        <v>29</v>
      </c>
      <c r="K125" s="114" t="s">
        <v>58</v>
      </c>
      <c r="L125" s="114" t="s">
        <v>431</v>
      </c>
      <c r="M125" s="114" t="s">
        <v>268</v>
      </c>
      <c r="N125" s="4"/>
      <c r="O125" s="4"/>
      <c r="P125" s="4"/>
      <c r="Q125" s="4"/>
      <c r="R125" s="4"/>
      <c r="S125" s="4"/>
      <c r="T125" s="4"/>
    </row>
    <row r="126" spans="1:20" ht="15" customHeight="1" thickBot="1">
      <c r="A126" s="23"/>
      <c r="B126" s="23">
        <v>119</v>
      </c>
      <c r="C126" s="114" t="s">
        <v>38</v>
      </c>
      <c r="D126" s="114" t="s">
        <v>440</v>
      </c>
      <c r="E126" s="114" t="s">
        <v>441</v>
      </c>
      <c r="F126" s="114" t="s">
        <v>91</v>
      </c>
      <c r="G126" s="120" t="s">
        <v>442</v>
      </c>
      <c r="H126" s="114">
        <v>9</v>
      </c>
      <c r="I126" s="114"/>
      <c r="J126" s="114">
        <v>29</v>
      </c>
      <c r="K126" s="114" t="s">
        <v>58</v>
      </c>
      <c r="L126" s="114" t="s">
        <v>431</v>
      </c>
      <c r="M126" s="114" t="s">
        <v>268</v>
      </c>
      <c r="N126" s="4"/>
      <c r="O126" s="4"/>
      <c r="P126" s="4"/>
      <c r="Q126" s="4"/>
      <c r="R126" s="4"/>
      <c r="S126" s="4"/>
      <c r="T126" s="4"/>
    </row>
    <row r="127" spans="1:20" ht="15" customHeight="1" thickBot="1">
      <c r="A127" s="23"/>
      <c r="B127" s="23">
        <v>120</v>
      </c>
      <c r="C127" s="114" t="s">
        <v>38</v>
      </c>
      <c r="D127" s="114" t="s">
        <v>428</v>
      </c>
      <c r="E127" s="114" t="s">
        <v>40</v>
      </c>
      <c r="F127" s="114" t="s">
        <v>87</v>
      </c>
      <c r="G127" s="120" t="s">
        <v>443</v>
      </c>
      <c r="H127" s="114">
        <v>11</v>
      </c>
      <c r="I127" s="114"/>
      <c r="J127" s="114">
        <v>33</v>
      </c>
      <c r="K127" s="114" t="s">
        <v>58</v>
      </c>
      <c r="L127" s="114" t="s">
        <v>431</v>
      </c>
      <c r="M127" s="114" t="s">
        <v>268</v>
      </c>
      <c r="N127" s="4"/>
      <c r="O127" s="4"/>
      <c r="P127" s="4"/>
      <c r="Q127" s="4"/>
      <c r="R127" s="4"/>
      <c r="S127" s="4"/>
      <c r="T127" s="4"/>
    </row>
    <row r="128" spans="1:20" ht="15" customHeight="1" thickBot="1">
      <c r="A128" s="23"/>
      <c r="B128" s="23">
        <v>121</v>
      </c>
      <c r="C128" s="114" t="s">
        <v>38</v>
      </c>
      <c r="D128" s="114" t="s">
        <v>444</v>
      </c>
      <c r="E128" s="114" t="s">
        <v>326</v>
      </c>
      <c r="F128" s="114" t="s">
        <v>445</v>
      </c>
      <c r="G128" s="120" t="s">
        <v>446</v>
      </c>
      <c r="H128" s="114">
        <v>11</v>
      </c>
      <c r="I128" s="114"/>
      <c r="J128" s="114">
        <v>39</v>
      </c>
      <c r="K128" s="114" t="s">
        <v>58</v>
      </c>
      <c r="L128" s="114" t="s">
        <v>431</v>
      </c>
      <c r="M128" s="114" t="s">
        <v>447</v>
      </c>
      <c r="N128" s="4"/>
      <c r="O128" s="4"/>
      <c r="P128" s="4"/>
      <c r="Q128" s="4"/>
      <c r="R128" s="4"/>
      <c r="S128" s="4"/>
      <c r="T128" s="4"/>
    </row>
    <row r="129" spans="1:20" ht="15" customHeight="1" thickBot="1">
      <c r="A129" s="23"/>
      <c r="B129" s="23">
        <v>122</v>
      </c>
      <c r="C129" s="114" t="s">
        <v>38</v>
      </c>
      <c r="D129" s="114" t="s">
        <v>448</v>
      </c>
      <c r="E129" s="114" t="s">
        <v>449</v>
      </c>
      <c r="F129" s="114" t="s">
        <v>82</v>
      </c>
      <c r="G129" s="120" t="s">
        <v>450</v>
      </c>
      <c r="H129" s="114">
        <v>11</v>
      </c>
      <c r="I129" s="114"/>
      <c r="J129" s="114">
        <v>42</v>
      </c>
      <c r="K129" s="114" t="s">
        <v>58</v>
      </c>
      <c r="L129" s="114" t="s">
        <v>431</v>
      </c>
      <c r="M129" s="114" t="s">
        <v>268</v>
      </c>
      <c r="N129" s="4"/>
      <c r="O129" s="4"/>
      <c r="P129" s="4"/>
      <c r="Q129" s="4"/>
      <c r="R129" s="4"/>
      <c r="S129" s="4"/>
      <c r="T129" s="4"/>
    </row>
    <row r="130" spans="1:20" ht="15" customHeight="1" thickBot="1">
      <c r="A130" s="23"/>
      <c r="B130" s="23">
        <v>123</v>
      </c>
      <c r="C130" s="114" t="s">
        <v>46</v>
      </c>
      <c r="D130" s="114" t="s">
        <v>451</v>
      </c>
      <c r="E130" s="114" t="s">
        <v>452</v>
      </c>
      <c r="F130" s="114" t="s">
        <v>453</v>
      </c>
      <c r="G130" s="120" t="s">
        <v>454</v>
      </c>
      <c r="H130" s="114">
        <v>8</v>
      </c>
      <c r="I130" s="114"/>
      <c r="J130" s="114">
        <v>40</v>
      </c>
      <c r="K130" s="114" t="s">
        <v>58</v>
      </c>
      <c r="L130" s="114" t="s">
        <v>431</v>
      </c>
      <c r="M130" s="114" t="s">
        <v>268</v>
      </c>
      <c r="N130" s="4"/>
      <c r="O130" s="4"/>
      <c r="P130" s="4"/>
      <c r="Q130" s="4"/>
      <c r="R130" s="4"/>
      <c r="S130" s="4"/>
      <c r="T130" s="4"/>
    </row>
    <row r="131" spans="1:20" ht="15" customHeight="1" thickBot="1">
      <c r="A131" s="23"/>
      <c r="B131" s="23">
        <v>124</v>
      </c>
      <c r="C131" s="114" t="s">
        <v>38</v>
      </c>
      <c r="D131" s="114" t="s">
        <v>455</v>
      </c>
      <c r="E131" s="114" t="s">
        <v>296</v>
      </c>
      <c r="F131" s="114" t="s">
        <v>141</v>
      </c>
      <c r="G131" s="120" t="s">
        <v>456</v>
      </c>
      <c r="H131" s="114">
        <v>9</v>
      </c>
      <c r="I131" s="114"/>
      <c r="J131" s="114" t="s">
        <v>457</v>
      </c>
      <c r="K131" s="114" t="s">
        <v>58</v>
      </c>
      <c r="L131" s="114" t="s">
        <v>431</v>
      </c>
      <c r="M131" s="114" t="s">
        <v>269</v>
      </c>
      <c r="N131" s="4"/>
      <c r="O131" s="4"/>
      <c r="P131" s="4"/>
      <c r="Q131" s="4"/>
      <c r="R131" s="4"/>
      <c r="S131" s="4"/>
      <c r="T131" s="4"/>
    </row>
    <row r="132" spans="1:20" ht="15" customHeight="1" thickBot="1">
      <c r="A132" s="23"/>
      <c r="B132" s="23">
        <v>125</v>
      </c>
      <c r="C132" s="114" t="s">
        <v>38</v>
      </c>
      <c r="D132" s="114" t="s">
        <v>458</v>
      </c>
      <c r="E132" s="114" t="s">
        <v>43</v>
      </c>
      <c r="F132" s="114" t="s">
        <v>141</v>
      </c>
      <c r="G132" s="120">
        <v>38202</v>
      </c>
      <c r="H132" s="114">
        <v>11</v>
      </c>
      <c r="I132" s="114">
        <v>10</v>
      </c>
      <c r="J132" s="114">
        <v>34</v>
      </c>
      <c r="K132" s="114" t="s">
        <v>58</v>
      </c>
      <c r="L132" s="114" t="s">
        <v>459</v>
      </c>
      <c r="M132" s="114" t="s">
        <v>270</v>
      </c>
      <c r="N132" s="4"/>
      <c r="O132" s="4"/>
      <c r="P132" s="4"/>
      <c r="Q132" s="4"/>
      <c r="R132" s="4"/>
      <c r="S132" s="4"/>
      <c r="T132" s="4"/>
    </row>
    <row r="133" spans="1:20" ht="15" customHeight="1" thickBot="1">
      <c r="A133" s="23"/>
      <c r="B133" s="23">
        <v>126</v>
      </c>
      <c r="C133" s="114" t="s">
        <v>38</v>
      </c>
      <c r="D133" s="114" t="s">
        <v>460</v>
      </c>
      <c r="E133" s="114" t="s">
        <v>461</v>
      </c>
      <c r="F133" s="114" t="s">
        <v>202</v>
      </c>
      <c r="G133" s="120" t="s">
        <v>462</v>
      </c>
      <c r="H133" s="114">
        <v>7</v>
      </c>
      <c r="I133" s="114">
        <v>9</v>
      </c>
      <c r="J133" s="114">
        <v>32</v>
      </c>
      <c r="K133" s="114" t="s">
        <v>58</v>
      </c>
      <c r="L133" s="114" t="s">
        <v>463</v>
      </c>
      <c r="M133" s="114" t="s">
        <v>119</v>
      </c>
      <c r="N133" s="4"/>
      <c r="O133" s="4"/>
      <c r="P133" s="4"/>
      <c r="Q133" s="4"/>
      <c r="R133" s="4"/>
      <c r="S133" s="4"/>
      <c r="T133" s="4"/>
    </row>
    <row r="134" spans="1:20" ht="15" customHeight="1" thickBot="1">
      <c r="A134" s="23"/>
      <c r="B134" s="23">
        <v>127</v>
      </c>
      <c r="C134" s="114" t="s">
        <v>46</v>
      </c>
      <c r="D134" s="114" t="s">
        <v>464</v>
      </c>
      <c r="E134" s="114" t="s">
        <v>465</v>
      </c>
      <c r="F134" s="114" t="s">
        <v>466</v>
      </c>
      <c r="G134" s="120">
        <v>39262</v>
      </c>
      <c r="H134" s="114">
        <v>8</v>
      </c>
      <c r="I134" s="114">
        <v>9</v>
      </c>
      <c r="J134" s="114">
        <v>46</v>
      </c>
      <c r="K134" s="114" t="s">
        <v>58</v>
      </c>
      <c r="L134" s="114" t="s">
        <v>463</v>
      </c>
      <c r="M134" s="114" t="s">
        <v>119</v>
      </c>
      <c r="N134" s="4"/>
      <c r="O134" s="4"/>
      <c r="P134" s="4"/>
      <c r="Q134" s="4"/>
      <c r="R134" s="4"/>
      <c r="S134" s="4"/>
      <c r="T134" s="4"/>
    </row>
    <row r="135" spans="1:20" ht="15" customHeight="1" thickBot="1">
      <c r="A135" s="23"/>
      <c r="B135" s="23">
        <v>128</v>
      </c>
      <c r="C135" s="114" t="s">
        <v>38</v>
      </c>
      <c r="D135" s="114" t="s">
        <v>467</v>
      </c>
      <c r="E135" s="114" t="s">
        <v>44</v>
      </c>
      <c r="F135" s="114" t="s">
        <v>152</v>
      </c>
      <c r="G135" s="120">
        <v>38964</v>
      </c>
      <c r="H135" s="114">
        <v>9</v>
      </c>
      <c r="I135" s="114">
        <v>7</v>
      </c>
      <c r="J135" s="114">
        <v>35</v>
      </c>
      <c r="K135" s="114" t="s">
        <v>58</v>
      </c>
      <c r="L135" s="114" t="s">
        <v>463</v>
      </c>
      <c r="M135" s="114" t="s">
        <v>119</v>
      </c>
      <c r="N135" s="4"/>
      <c r="O135" s="4"/>
      <c r="P135" s="4"/>
      <c r="Q135" s="4"/>
      <c r="R135" s="4"/>
      <c r="S135" s="4"/>
      <c r="T135" s="4"/>
    </row>
    <row r="136" spans="1:20" ht="15" customHeight="1" thickBot="1">
      <c r="A136" s="23"/>
      <c r="B136" s="23">
        <v>129</v>
      </c>
      <c r="C136" s="114" t="s">
        <v>46</v>
      </c>
      <c r="D136" s="114" t="s">
        <v>225</v>
      </c>
      <c r="E136" s="114" t="s">
        <v>468</v>
      </c>
      <c r="F136" s="114" t="s">
        <v>131</v>
      </c>
      <c r="G136" s="120">
        <v>38842</v>
      </c>
      <c r="H136" s="114">
        <v>9</v>
      </c>
      <c r="I136" s="114">
        <v>9</v>
      </c>
      <c r="J136" s="114">
        <v>43</v>
      </c>
      <c r="K136" s="114" t="s">
        <v>58</v>
      </c>
      <c r="L136" s="114" t="s">
        <v>463</v>
      </c>
      <c r="M136" s="114" t="s">
        <v>119</v>
      </c>
      <c r="N136" s="4"/>
      <c r="O136" s="4"/>
      <c r="P136" s="4"/>
      <c r="Q136" s="4"/>
      <c r="R136" s="4"/>
      <c r="S136" s="4"/>
      <c r="T136" s="4"/>
    </row>
    <row r="137" spans="1:20" ht="15" customHeight="1" thickBot="1">
      <c r="A137" s="23"/>
      <c r="B137" s="23">
        <v>130</v>
      </c>
      <c r="C137" s="114" t="s">
        <v>38</v>
      </c>
      <c r="D137" s="114" t="s">
        <v>239</v>
      </c>
      <c r="E137" s="114" t="s">
        <v>42</v>
      </c>
      <c r="F137" s="114" t="s">
        <v>149</v>
      </c>
      <c r="G137" s="120">
        <v>38442</v>
      </c>
      <c r="H137" s="114">
        <v>10</v>
      </c>
      <c r="I137" s="114">
        <v>7</v>
      </c>
      <c r="J137" s="114">
        <v>38.5</v>
      </c>
      <c r="K137" s="114" t="s">
        <v>58</v>
      </c>
      <c r="L137" s="114" t="s">
        <v>463</v>
      </c>
      <c r="M137" s="114" t="s">
        <v>119</v>
      </c>
      <c r="N137" s="4"/>
      <c r="O137" s="4"/>
      <c r="P137" s="4"/>
      <c r="Q137" s="4"/>
      <c r="R137" s="4"/>
      <c r="S137" s="4"/>
      <c r="T137" s="4"/>
    </row>
    <row r="138" spans="1:20" ht="15" customHeight="1" thickBot="1">
      <c r="A138" s="23"/>
      <c r="B138" s="23">
        <v>131</v>
      </c>
      <c r="C138" s="114" t="s">
        <v>38</v>
      </c>
      <c r="D138" s="114" t="s">
        <v>126</v>
      </c>
      <c r="E138" s="114" t="s">
        <v>125</v>
      </c>
      <c r="F138" s="114" t="s">
        <v>71</v>
      </c>
      <c r="G138" s="120">
        <v>38307</v>
      </c>
      <c r="H138" s="114">
        <v>11</v>
      </c>
      <c r="I138" s="114">
        <v>5</v>
      </c>
      <c r="J138" s="114">
        <v>40</v>
      </c>
      <c r="K138" s="114" t="s">
        <v>58</v>
      </c>
      <c r="L138" s="114" t="s">
        <v>463</v>
      </c>
      <c r="M138" s="114" t="s">
        <v>119</v>
      </c>
      <c r="N138" s="4"/>
      <c r="O138" s="4"/>
      <c r="P138" s="4"/>
      <c r="Q138" s="4"/>
      <c r="R138" s="4"/>
      <c r="S138" s="4"/>
      <c r="T138" s="4"/>
    </row>
    <row r="139" spans="1:20" ht="15" customHeight="1" thickBot="1">
      <c r="A139" s="23"/>
      <c r="B139" s="23">
        <v>132</v>
      </c>
      <c r="C139" s="114" t="s">
        <v>38</v>
      </c>
      <c r="D139" s="114" t="s">
        <v>123</v>
      </c>
      <c r="E139" s="114" t="s">
        <v>124</v>
      </c>
      <c r="F139" s="114" t="s">
        <v>161</v>
      </c>
      <c r="G139" s="120">
        <v>38506</v>
      </c>
      <c r="H139" s="114">
        <v>10</v>
      </c>
      <c r="I139" s="114">
        <v>6</v>
      </c>
      <c r="J139" s="114">
        <v>28</v>
      </c>
      <c r="K139" s="114" t="s">
        <v>58</v>
      </c>
      <c r="L139" s="114" t="s">
        <v>463</v>
      </c>
      <c r="M139" s="114" t="s">
        <v>119</v>
      </c>
      <c r="N139" s="4"/>
      <c r="O139" s="4"/>
      <c r="P139" s="4"/>
      <c r="Q139" s="4"/>
      <c r="R139" s="4"/>
      <c r="S139" s="4"/>
      <c r="T139" s="4"/>
    </row>
    <row r="140" spans="1:20" ht="15" customHeight="1" thickBot="1">
      <c r="A140" s="23"/>
      <c r="B140" s="23">
        <v>133</v>
      </c>
      <c r="C140" s="114" t="s">
        <v>46</v>
      </c>
      <c r="D140" s="114" t="s">
        <v>120</v>
      </c>
      <c r="E140" s="114" t="s">
        <v>220</v>
      </c>
      <c r="F140" s="114" t="s">
        <v>390</v>
      </c>
      <c r="G140" s="120">
        <v>38182</v>
      </c>
      <c r="H140" s="114">
        <v>11</v>
      </c>
      <c r="I140" s="114">
        <v>6</v>
      </c>
      <c r="J140" s="114">
        <v>43</v>
      </c>
      <c r="K140" s="114" t="s">
        <v>58</v>
      </c>
      <c r="L140" s="114" t="s">
        <v>463</v>
      </c>
      <c r="M140" s="114" t="s">
        <v>119</v>
      </c>
      <c r="N140" s="4"/>
      <c r="O140" s="4"/>
      <c r="P140" s="4"/>
      <c r="Q140" s="4"/>
      <c r="R140" s="4"/>
      <c r="S140" s="4"/>
      <c r="T140" s="4"/>
    </row>
    <row r="141" spans="1:20" ht="15" customHeight="1" thickBot="1">
      <c r="A141" s="23"/>
      <c r="B141" s="23">
        <v>134</v>
      </c>
      <c r="C141" s="114" t="s">
        <v>46</v>
      </c>
      <c r="D141" s="114" t="s">
        <v>469</v>
      </c>
      <c r="E141" s="114" t="s">
        <v>132</v>
      </c>
      <c r="F141" s="114" t="s">
        <v>96</v>
      </c>
      <c r="G141" s="120">
        <v>39112</v>
      </c>
      <c r="H141" s="114">
        <v>9</v>
      </c>
      <c r="I141" s="114">
        <v>10</v>
      </c>
      <c r="J141" s="114">
        <v>42547</v>
      </c>
      <c r="K141" s="114" t="s">
        <v>58</v>
      </c>
      <c r="L141" s="114" t="s">
        <v>463</v>
      </c>
      <c r="M141" s="114" t="s">
        <v>110</v>
      </c>
      <c r="N141" s="4"/>
      <c r="O141" s="4"/>
      <c r="P141" s="4"/>
      <c r="Q141" s="4"/>
      <c r="R141" s="4"/>
      <c r="S141" s="4"/>
      <c r="T141" s="4"/>
    </row>
    <row r="142" spans="1:20" ht="15" customHeight="1" thickBot="1">
      <c r="A142" s="23"/>
      <c r="B142" s="23">
        <v>135</v>
      </c>
      <c r="C142" s="114" t="s">
        <v>46</v>
      </c>
      <c r="D142" s="114" t="s">
        <v>114</v>
      </c>
      <c r="E142" s="114" t="s">
        <v>115</v>
      </c>
      <c r="F142" s="114" t="s">
        <v>67</v>
      </c>
      <c r="G142" s="120">
        <v>39215</v>
      </c>
      <c r="H142" s="114">
        <v>8</v>
      </c>
      <c r="I142" s="114">
        <v>8</v>
      </c>
      <c r="J142" s="114" t="s">
        <v>470</v>
      </c>
      <c r="K142" s="114" t="s">
        <v>58</v>
      </c>
      <c r="L142" s="114" t="s">
        <v>463</v>
      </c>
      <c r="M142" s="114" t="s">
        <v>110</v>
      </c>
      <c r="N142" s="4"/>
      <c r="O142" s="4"/>
      <c r="P142" s="4"/>
      <c r="Q142" s="4"/>
      <c r="R142" s="4"/>
      <c r="S142" s="4"/>
      <c r="T142" s="4"/>
    </row>
    <row r="143" spans="1:20" ht="15" customHeight="1" thickBot="1">
      <c r="A143" s="23"/>
      <c r="B143" s="23">
        <v>136</v>
      </c>
      <c r="C143" s="114" t="s">
        <v>38</v>
      </c>
      <c r="D143" s="114" t="s">
        <v>471</v>
      </c>
      <c r="E143" s="114" t="s">
        <v>77</v>
      </c>
      <c r="F143" s="114" t="s">
        <v>181</v>
      </c>
      <c r="G143" s="120">
        <v>38839</v>
      </c>
      <c r="H143" s="114">
        <v>9</v>
      </c>
      <c r="I143" s="114">
        <v>9</v>
      </c>
      <c r="J143" s="114" t="s">
        <v>472</v>
      </c>
      <c r="K143" s="114" t="s">
        <v>58</v>
      </c>
      <c r="L143" s="114" t="s">
        <v>463</v>
      </c>
      <c r="M143" s="114" t="s">
        <v>273</v>
      </c>
      <c r="N143" s="4"/>
      <c r="O143" s="4"/>
      <c r="P143" s="4"/>
      <c r="Q143" s="4"/>
      <c r="R143" s="4"/>
      <c r="S143" s="4"/>
      <c r="T143" s="4"/>
    </row>
    <row r="144" spans="1:20" ht="15" customHeight="1" thickBot="1">
      <c r="A144" s="23"/>
      <c r="B144" s="23">
        <v>137</v>
      </c>
      <c r="C144" s="114" t="s">
        <v>38</v>
      </c>
      <c r="D144" s="114" t="s">
        <v>473</v>
      </c>
      <c r="E144" s="114" t="s">
        <v>474</v>
      </c>
      <c r="F144" s="114" t="s">
        <v>79</v>
      </c>
      <c r="G144" s="120">
        <v>38130</v>
      </c>
      <c r="H144" s="114">
        <v>11</v>
      </c>
      <c r="I144" s="114">
        <v>9</v>
      </c>
      <c r="J144" s="114">
        <v>34</v>
      </c>
      <c r="K144" s="114" t="s">
        <v>58</v>
      </c>
      <c r="L144" s="114" t="s">
        <v>463</v>
      </c>
      <c r="M144" s="114" t="s">
        <v>273</v>
      </c>
      <c r="N144" s="4"/>
      <c r="O144" s="4"/>
      <c r="P144" s="4"/>
      <c r="Q144" s="4"/>
      <c r="R144" s="4"/>
      <c r="S144" s="4"/>
      <c r="T144" s="4"/>
    </row>
    <row r="145" spans="1:20" ht="15" customHeight="1" thickBot="1">
      <c r="A145" s="23"/>
      <c r="B145" s="23">
        <v>138</v>
      </c>
      <c r="C145" s="114" t="s">
        <v>38</v>
      </c>
      <c r="D145" s="114" t="s">
        <v>475</v>
      </c>
      <c r="E145" s="114" t="s">
        <v>40</v>
      </c>
      <c r="F145" s="114" t="s">
        <v>141</v>
      </c>
      <c r="G145" s="120">
        <v>39443</v>
      </c>
      <c r="H145" s="114">
        <v>9</v>
      </c>
      <c r="I145" s="114">
        <v>8</v>
      </c>
      <c r="J145" s="114">
        <v>39</v>
      </c>
      <c r="K145" s="114" t="s">
        <v>58</v>
      </c>
      <c r="L145" s="114" t="s">
        <v>463</v>
      </c>
      <c r="M145" s="114" t="s">
        <v>274</v>
      </c>
      <c r="N145" s="4"/>
      <c r="O145" s="4"/>
      <c r="P145" s="4"/>
      <c r="Q145" s="4"/>
      <c r="R145" s="4"/>
      <c r="S145" s="4"/>
      <c r="T145" s="4"/>
    </row>
    <row r="146" spans="1:20" ht="15" customHeight="1" thickBot="1">
      <c r="A146" s="23"/>
      <c r="B146" s="23">
        <v>139</v>
      </c>
      <c r="C146" s="114" t="s">
        <v>38</v>
      </c>
      <c r="D146" s="114" t="s">
        <v>170</v>
      </c>
      <c r="E146" s="114" t="s">
        <v>125</v>
      </c>
      <c r="F146" s="114" t="s">
        <v>67</v>
      </c>
      <c r="G146" s="120">
        <v>38820</v>
      </c>
      <c r="H146" s="114">
        <v>9</v>
      </c>
      <c r="I146" s="114">
        <v>7</v>
      </c>
      <c r="J146" s="114" t="s">
        <v>476</v>
      </c>
      <c r="K146" s="114" t="s">
        <v>58</v>
      </c>
      <c r="L146" s="114" t="s">
        <v>463</v>
      </c>
      <c r="M146" s="114" t="s">
        <v>274</v>
      </c>
      <c r="N146" s="4"/>
      <c r="O146" s="4"/>
      <c r="P146" s="4"/>
      <c r="Q146" s="4"/>
      <c r="R146" s="4"/>
      <c r="S146" s="4"/>
      <c r="T146" s="4"/>
    </row>
    <row r="147" spans="1:20" s="78" customFormat="1" ht="15" customHeight="1" thickBot="1">
      <c r="A147" s="23"/>
      <c r="B147" s="23">
        <v>140</v>
      </c>
      <c r="C147" s="121" t="s">
        <v>38</v>
      </c>
      <c r="D147" s="121" t="s">
        <v>477</v>
      </c>
      <c r="E147" s="121" t="s">
        <v>40</v>
      </c>
      <c r="F147" s="121" t="s">
        <v>54</v>
      </c>
      <c r="G147" s="124">
        <v>39158</v>
      </c>
      <c r="H147" s="121">
        <v>9</v>
      </c>
      <c r="I147" s="121">
        <v>8</v>
      </c>
      <c r="J147" s="121">
        <v>38</v>
      </c>
      <c r="K147" s="121" t="s">
        <v>58</v>
      </c>
      <c r="L147" s="121" t="s">
        <v>463</v>
      </c>
      <c r="M147" s="121" t="s">
        <v>274</v>
      </c>
      <c r="N147" s="4"/>
      <c r="O147" s="77"/>
      <c r="P147" s="77"/>
      <c r="Q147" s="77"/>
      <c r="R147" s="77"/>
      <c r="S147" s="77"/>
      <c r="T147" s="77"/>
    </row>
    <row r="148" spans="1:20" ht="15" customHeight="1" thickBot="1">
      <c r="A148" s="23"/>
      <c r="B148" s="23">
        <v>141</v>
      </c>
      <c r="C148" s="114" t="s">
        <v>38</v>
      </c>
      <c r="D148" s="114" t="s">
        <v>478</v>
      </c>
      <c r="E148" s="114" t="s">
        <v>183</v>
      </c>
      <c r="F148" s="114" t="s">
        <v>479</v>
      </c>
      <c r="G148" s="120">
        <v>38329</v>
      </c>
      <c r="H148" s="114">
        <v>11</v>
      </c>
      <c r="I148" s="114">
        <v>9</v>
      </c>
      <c r="J148" s="114" t="s">
        <v>480</v>
      </c>
      <c r="K148" s="114" t="s">
        <v>58</v>
      </c>
      <c r="L148" s="114" t="s">
        <v>463</v>
      </c>
      <c r="M148" s="114" t="s">
        <v>274</v>
      </c>
      <c r="N148" s="4"/>
      <c r="O148" s="4"/>
      <c r="P148" s="4"/>
      <c r="Q148" s="4"/>
      <c r="R148" s="4"/>
      <c r="S148" s="4"/>
      <c r="T148" s="4"/>
    </row>
    <row r="149" spans="1:20" ht="15" customHeight="1" thickBot="1">
      <c r="A149" s="23"/>
      <c r="B149" s="23">
        <v>142</v>
      </c>
      <c r="C149" s="114" t="s">
        <v>38</v>
      </c>
      <c r="D149" s="114" t="s">
        <v>481</v>
      </c>
      <c r="E149" s="114" t="s">
        <v>482</v>
      </c>
      <c r="F149" s="114" t="s">
        <v>78</v>
      </c>
      <c r="G149" s="120">
        <v>38669</v>
      </c>
      <c r="H149" s="114">
        <v>10</v>
      </c>
      <c r="I149" s="114"/>
      <c r="J149" s="114">
        <v>51</v>
      </c>
      <c r="K149" s="114" t="s">
        <v>58</v>
      </c>
      <c r="L149" s="114" t="s">
        <v>393</v>
      </c>
      <c r="M149" s="114" t="s">
        <v>72</v>
      </c>
      <c r="N149" s="4"/>
      <c r="O149" s="4"/>
      <c r="P149" s="4"/>
      <c r="Q149" s="4"/>
      <c r="R149" s="4"/>
      <c r="S149" s="4"/>
      <c r="T149" s="4"/>
    </row>
    <row r="150" spans="1:20" ht="13.5" customHeight="1">
      <c r="A150" s="107"/>
      <c r="B150" s="107"/>
      <c r="C150" s="76"/>
      <c r="D150" s="125"/>
      <c r="E150" s="125"/>
      <c r="F150" s="126"/>
      <c r="G150" s="127"/>
      <c r="H150" s="126"/>
      <c r="I150" s="126"/>
      <c r="J150" s="125"/>
      <c r="K150" s="76"/>
      <c r="L150" s="76"/>
      <c r="M150" s="76"/>
      <c r="N150" s="4"/>
      <c r="O150" s="4"/>
      <c r="P150" s="4"/>
      <c r="Q150" s="4"/>
      <c r="R150" s="4"/>
      <c r="S150" s="4"/>
      <c r="T150" s="4"/>
    </row>
    <row r="151" spans="1:20" ht="1.5" hidden="1" customHeight="1">
      <c r="A151" s="107"/>
      <c r="B151" s="107"/>
      <c r="C151" s="76"/>
      <c r="D151" s="125"/>
      <c r="E151" s="125"/>
      <c r="F151" s="126"/>
      <c r="G151" s="127"/>
      <c r="H151" s="126"/>
      <c r="I151" s="126"/>
      <c r="J151" s="125"/>
      <c r="K151" s="76"/>
      <c r="L151" s="76"/>
      <c r="M151" s="76"/>
      <c r="N151" s="4"/>
      <c r="O151" s="4"/>
      <c r="P151" s="4"/>
      <c r="Q151" s="4"/>
      <c r="R151" s="4"/>
      <c r="S151" s="4"/>
      <c r="T151" s="4"/>
    </row>
    <row r="152" spans="1:20" ht="16.5" hidden="1" customHeight="1">
      <c r="A152" s="107"/>
      <c r="B152" s="107"/>
      <c r="C152" s="76"/>
      <c r="D152" s="125"/>
      <c r="E152" s="125"/>
      <c r="F152" s="126"/>
      <c r="G152" s="127"/>
      <c r="H152" s="126"/>
      <c r="I152" s="126"/>
      <c r="J152" s="125"/>
      <c r="K152" s="125"/>
      <c r="L152" s="125"/>
      <c r="M152" s="125"/>
      <c r="N152" s="4"/>
      <c r="O152" s="4"/>
      <c r="P152" s="4"/>
      <c r="Q152" s="4"/>
      <c r="R152" s="4"/>
      <c r="S152" s="4"/>
      <c r="T152" s="4"/>
    </row>
    <row r="153" spans="1:20" ht="16.5" hidden="1" customHeight="1">
      <c r="A153" s="107"/>
      <c r="B153" s="107"/>
      <c r="C153" s="76"/>
      <c r="D153" s="125"/>
      <c r="E153" s="125"/>
      <c r="F153" s="126"/>
      <c r="G153" s="127"/>
      <c r="H153" s="126"/>
      <c r="I153" s="126"/>
      <c r="J153" s="125"/>
      <c r="K153" s="125"/>
      <c r="L153" s="125"/>
      <c r="M153" s="125"/>
      <c r="N153" s="4"/>
      <c r="O153" s="4"/>
      <c r="P153" s="4"/>
      <c r="Q153" s="4"/>
      <c r="R153" s="4"/>
      <c r="S153" s="4"/>
      <c r="T153" s="4"/>
    </row>
    <row r="154" spans="1:20" ht="16.5" hidden="1" customHeight="1">
      <c r="A154" s="107"/>
      <c r="B154" s="107"/>
      <c r="C154" s="76"/>
      <c r="D154" s="125"/>
      <c r="E154" s="125"/>
      <c r="F154" s="126"/>
      <c r="G154" s="127"/>
      <c r="H154" s="126"/>
      <c r="I154" s="126"/>
      <c r="J154" s="125"/>
      <c r="K154" s="125"/>
      <c r="L154" s="125"/>
      <c r="M154" s="125"/>
      <c r="N154" s="4"/>
      <c r="O154" s="4"/>
      <c r="P154" s="4"/>
      <c r="Q154" s="4"/>
      <c r="R154" s="4"/>
      <c r="S154" s="4"/>
      <c r="T154" s="4"/>
    </row>
    <row r="155" spans="1:20" ht="16.5" hidden="1" customHeight="1">
      <c r="A155" s="107"/>
      <c r="B155" s="107"/>
      <c r="C155" s="76"/>
      <c r="D155" s="125"/>
      <c r="E155" s="125"/>
      <c r="F155" s="126"/>
      <c r="G155" s="127"/>
      <c r="H155" s="126"/>
      <c r="I155" s="126"/>
      <c r="J155" s="125"/>
      <c r="K155" s="125"/>
      <c r="L155" s="125"/>
      <c r="M155" s="125"/>
      <c r="N155" s="4"/>
      <c r="O155" s="4"/>
      <c r="P155" s="4"/>
      <c r="Q155" s="4"/>
      <c r="R155" s="4"/>
      <c r="S155" s="4"/>
      <c r="T155" s="4"/>
    </row>
    <row r="156" spans="1:20" ht="16.5" hidden="1" customHeight="1">
      <c r="A156" s="107"/>
      <c r="B156" s="107"/>
      <c r="C156" s="76"/>
      <c r="D156" s="125"/>
      <c r="E156" s="125"/>
      <c r="F156" s="126"/>
      <c r="G156" s="127"/>
      <c r="H156" s="126"/>
      <c r="I156" s="126"/>
      <c r="J156" s="125"/>
      <c r="K156" s="125"/>
      <c r="L156" s="125"/>
      <c r="M156" s="125"/>
      <c r="N156" s="4"/>
      <c r="O156" s="4"/>
      <c r="P156" s="4"/>
      <c r="Q156" s="4"/>
      <c r="R156" s="4"/>
      <c r="S156" s="4"/>
      <c r="T156" s="4"/>
    </row>
    <row r="157" spans="1:20" ht="16.5" hidden="1" customHeight="1">
      <c r="A157" s="107"/>
      <c r="B157" s="107"/>
      <c r="C157" s="76"/>
      <c r="D157" s="125"/>
      <c r="E157" s="125"/>
      <c r="F157" s="126"/>
      <c r="G157" s="127"/>
      <c r="H157" s="126"/>
      <c r="I157" s="126"/>
      <c r="J157" s="125"/>
      <c r="K157" s="125"/>
      <c r="L157" s="125"/>
      <c r="M157" s="125"/>
      <c r="N157" s="4"/>
      <c r="O157" s="4"/>
      <c r="P157" s="4"/>
      <c r="Q157" s="4"/>
      <c r="R157" s="4"/>
      <c r="S157" s="4"/>
      <c r="T157" s="4"/>
    </row>
    <row r="158" spans="1:20" ht="16.5" hidden="1" customHeight="1">
      <c r="A158" s="107"/>
      <c r="B158" s="107"/>
      <c r="C158" s="76"/>
      <c r="D158" s="125"/>
      <c r="E158" s="125"/>
      <c r="F158" s="126"/>
      <c r="G158" s="127"/>
      <c r="H158" s="126"/>
      <c r="I158" s="126"/>
      <c r="J158" s="125"/>
      <c r="K158" s="125"/>
      <c r="L158" s="125"/>
      <c r="M158" s="125"/>
      <c r="N158" s="4"/>
      <c r="O158" s="4"/>
      <c r="P158" s="4"/>
      <c r="Q158" s="4"/>
      <c r="R158" s="4"/>
      <c r="S158" s="4"/>
      <c r="T158" s="4"/>
    </row>
    <row r="159" spans="1:20" s="2" customFormat="1" ht="15.75" customHeight="1">
      <c r="A159" s="267" t="s">
        <v>26</v>
      </c>
      <c r="B159" s="267"/>
      <c r="C159" s="267"/>
      <c r="D159" s="267"/>
      <c r="E159" s="105"/>
      <c r="F159" s="62"/>
      <c r="G159" s="62"/>
      <c r="H159" s="62"/>
      <c r="I159" s="62"/>
      <c r="J159" s="56"/>
      <c r="K159" s="72"/>
      <c r="L159" s="258" t="s">
        <v>35</v>
      </c>
      <c r="M159" s="258"/>
      <c r="N159" s="28"/>
      <c r="O159" s="28"/>
      <c r="P159" s="28"/>
      <c r="Q159" s="28"/>
      <c r="R159" s="28"/>
      <c r="S159" s="28"/>
      <c r="T159" s="28"/>
    </row>
    <row r="160" spans="1:20" s="2" customFormat="1" ht="26.25" customHeight="1">
      <c r="A160" s="60"/>
      <c r="B160" s="60"/>
      <c r="C160" s="60"/>
      <c r="D160" s="60"/>
      <c r="E160" s="57"/>
      <c r="F160" s="57"/>
      <c r="G160" s="57"/>
      <c r="H160" s="57"/>
      <c r="I160" s="54"/>
      <c r="J160" s="54"/>
      <c r="K160" s="73"/>
      <c r="L160" s="54"/>
      <c r="M160" s="54"/>
      <c r="N160" s="28"/>
      <c r="O160" s="28"/>
      <c r="P160" s="28"/>
      <c r="Q160" s="28"/>
      <c r="R160" s="28"/>
      <c r="S160" s="28"/>
      <c r="T160" s="28"/>
    </row>
    <row r="161" spans="1:20" s="2" customFormat="1" ht="15" customHeight="1">
      <c r="A161" s="257" t="s">
        <v>27</v>
      </c>
      <c r="B161" s="257"/>
      <c r="C161" s="257"/>
      <c r="D161" s="257"/>
      <c r="E161" s="54"/>
      <c r="F161" s="63"/>
      <c r="G161" s="64"/>
      <c r="H161" s="65"/>
      <c r="I161" s="55"/>
      <c r="J161" s="54"/>
      <c r="K161" s="73"/>
      <c r="L161" s="258" t="s">
        <v>36</v>
      </c>
      <c r="M161" s="258"/>
      <c r="N161" s="28"/>
      <c r="O161" s="28"/>
      <c r="P161" s="28"/>
      <c r="Q161" s="28"/>
      <c r="R161" s="28"/>
      <c r="S161" s="28"/>
      <c r="T161" s="28"/>
    </row>
    <row r="162" spans="1:20" s="2" customFormat="1" ht="5.25" customHeight="1">
      <c r="A162" s="104"/>
      <c r="B162" s="104"/>
      <c r="C162" s="61"/>
      <c r="D162" s="106"/>
      <c r="E162" s="54"/>
      <c r="F162" s="57"/>
      <c r="G162" s="58"/>
      <c r="H162" s="59"/>
      <c r="I162" s="54"/>
      <c r="J162" s="54"/>
      <c r="K162" s="73"/>
      <c r="L162" s="54"/>
      <c r="M162" s="54"/>
      <c r="N162" s="28"/>
      <c r="O162" s="28"/>
      <c r="P162" s="28"/>
      <c r="Q162" s="28"/>
      <c r="R162" s="28"/>
      <c r="S162" s="28"/>
      <c r="T162" s="28"/>
    </row>
    <row r="163" spans="1:20" s="2" customFormat="1" ht="15" customHeight="1">
      <c r="A163" s="257" t="s">
        <v>28</v>
      </c>
      <c r="B163" s="257"/>
      <c r="C163" s="257"/>
      <c r="D163" s="257"/>
      <c r="E163" s="44"/>
      <c r="F163" s="66"/>
      <c r="G163" s="67"/>
      <c r="H163" s="68"/>
      <c r="I163" s="62"/>
      <c r="J163" s="56"/>
      <c r="K163" s="72"/>
      <c r="L163" s="258"/>
      <c r="M163" s="258"/>
      <c r="N163" s="28"/>
      <c r="O163" s="28"/>
      <c r="P163" s="28"/>
      <c r="Q163" s="28"/>
      <c r="R163" s="28"/>
      <c r="S163" s="28"/>
      <c r="T163" s="28"/>
    </row>
    <row r="164" spans="1:20" s="2" customFormat="1" ht="10.5" customHeight="1">
      <c r="A164" s="31"/>
      <c r="B164" s="31"/>
      <c r="C164" s="32"/>
      <c r="D164" s="33"/>
      <c r="E164" s="33"/>
      <c r="F164" s="34"/>
      <c r="G164" s="35"/>
      <c r="H164" s="36"/>
      <c r="I164" s="30"/>
      <c r="J164" s="30"/>
      <c r="K164" s="74"/>
      <c r="L164" s="30"/>
      <c r="M164" s="30"/>
      <c r="N164" s="28"/>
      <c r="O164" s="28"/>
      <c r="P164" s="28"/>
      <c r="Q164" s="28"/>
      <c r="R164" s="28"/>
      <c r="S164" s="28"/>
      <c r="T164" s="28"/>
    </row>
    <row r="165" spans="1:20" s="2" customFormat="1" ht="10.5" customHeight="1">
      <c r="A165" s="31"/>
      <c r="B165" s="31"/>
      <c r="C165" s="32"/>
      <c r="D165" s="33"/>
      <c r="E165" s="33"/>
      <c r="F165" s="34"/>
      <c r="G165" s="35"/>
      <c r="H165" s="36"/>
      <c r="I165" s="30"/>
      <c r="J165" s="30"/>
      <c r="K165" s="74"/>
      <c r="L165" s="30"/>
      <c r="M165" s="30"/>
      <c r="N165" s="28"/>
      <c r="O165" s="28"/>
      <c r="P165" s="28"/>
      <c r="Q165" s="28"/>
      <c r="R165" s="28"/>
      <c r="S165" s="28"/>
      <c r="T165" s="28"/>
    </row>
    <row r="166" spans="1:20" s="2" customFormat="1" ht="10.5" customHeight="1">
      <c r="A166" s="31"/>
      <c r="B166" s="31"/>
      <c r="C166" s="32"/>
      <c r="D166" s="33"/>
      <c r="E166" s="33"/>
      <c r="F166" s="34"/>
      <c r="G166" s="35"/>
      <c r="H166" s="36"/>
      <c r="I166" s="30"/>
      <c r="J166" s="30"/>
      <c r="K166" s="74"/>
      <c r="L166" s="30"/>
      <c r="M166" s="30"/>
      <c r="N166" s="28"/>
      <c r="O166" s="28"/>
      <c r="P166" s="28"/>
      <c r="Q166" s="28"/>
      <c r="R166" s="28"/>
      <c r="S166" s="28"/>
      <c r="T166" s="28"/>
    </row>
    <row r="167" spans="1:20" s="2" customFormat="1" ht="10.5" customHeight="1">
      <c r="A167" s="31"/>
      <c r="B167" s="31"/>
      <c r="C167" s="32"/>
      <c r="D167" s="33"/>
      <c r="E167" s="33"/>
      <c r="F167" s="34"/>
      <c r="G167" s="35"/>
      <c r="H167" s="36"/>
      <c r="I167" s="30"/>
      <c r="J167" s="30"/>
      <c r="K167" s="74"/>
      <c r="L167" s="30"/>
      <c r="M167" s="30"/>
      <c r="N167" s="28"/>
      <c r="O167" s="28"/>
      <c r="P167" s="28"/>
      <c r="Q167" s="28"/>
      <c r="R167" s="28"/>
      <c r="S167" s="28"/>
      <c r="T167" s="28"/>
    </row>
    <row r="168" spans="1:20" s="2" customFormat="1" ht="10.5" customHeight="1">
      <c r="A168" s="31"/>
      <c r="B168" s="31"/>
      <c r="C168" s="32"/>
      <c r="D168" s="33"/>
      <c r="E168" s="33"/>
      <c r="F168" s="34"/>
      <c r="G168" s="35"/>
      <c r="H168" s="36"/>
      <c r="I168" s="30"/>
      <c r="J168" s="30"/>
      <c r="K168" s="74"/>
      <c r="L168" s="30"/>
      <c r="M168" s="30"/>
      <c r="N168" s="28"/>
      <c r="O168" s="28"/>
      <c r="P168" s="28"/>
      <c r="Q168" s="28"/>
      <c r="R168" s="28"/>
      <c r="S168" s="28"/>
      <c r="T168" s="28"/>
    </row>
    <row r="169" spans="1:20" s="2" customFormat="1" ht="10.5" customHeight="1">
      <c r="A169" s="31"/>
      <c r="B169" s="31"/>
      <c r="C169" s="32"/>
      <c r="D169" s="33"/>
      <c r="E169" s="33"/>
      <c r="F169" s="34"/>
      <c r="G169" s="35"/>
      <c r="H169" s="36"/>
      <c r="I169" s="30"/>
      <c r="J169" s="30"/>
      <c r="K169" s="74"/>
      <c r="L169" s="30"/>
      <c r="M169" s="30"/>
      <c r="N169" s="29"/>
      <c r="O169" s="28"/>
      <c r="P169" s="28"/>
      <c r="Q169" s="28"/>
      <c r="R169" s="28"/>
      <c r="S169" s="28"/>
      <c r="T169" s="28"/>
    </row>
    <row r="170" spans="1:20" s="2" customFormat="1" ht="10.5" customHeight="1">
      <c r="A170" s="31"/>
      <c r="B170" s="31"/>
      <c r="C170" s="32"/>
      <c r="D170" s="33"/>
      <c r="E170" s="33"/>
      <c r="F170" s="34"/>
      <c r="G170" s="35"/>
      <c r="H170" s="36"/>
      <c r="I170" s="30"/>
      <c r="J170" s="30"/>
      <c r="K170" s="74"/>
      <c r="L170" s="30"/>
      <c r="M170" s="30"/>
      <c r="N170" s="28"/>
      <c r="O170" s="28"/>
      <c r="P170" s="28"/>
      <c r="Q170" s="28"/>
      <c r="R170" s="28"/>
      <c r="S170" s="28"/>
      <c r="T170" s="28"/>
    </row>
    <row r="171" spans="1:20" s="2" customFormat="1" ht="10.5" customHeight="1">
      <c r="A171" s="31"/>
      <c r="B171" s="31"/>
      <c r="C171" s="32"/>
      <c r="D171" s="33"/>
      <c r="E171" s="33"/>
      <c r="F171" s="34"/>
      <c r="G171" s="35"/>
      <c r="H171" s="36"/>
      <c r="I171" s="30"/>
      <c r="J171" s="30"/>
      <c r="K171" s="74"/>
      <c r="L171" s="30"/>
      <c r="M171" s="30"/>
      <c r="N171" s="28"/>
      <c r="O171" s="28"/>
      <c r="P171" s="28"/>
      <c r="Q171" s="28"/>
      <c r="R171" s="28"/>
      <c r="S171" s="28"/>
      <c r="T171" s="28"/>
    </row>
    <row r="172" spans="1:20" s="2" customFormat="1" ht="10.5" customHeight="1">
      <c r="A172" s="31"/>
      <c r="B172" s="31"/>
      <c r="C172" s="32"/>
      <c r="D172" s="33"/>
      <c r="E172" s="33"/>
      <c r="F172" s="34"/>
      <c r="G172" s="35"/>
      <c r="H172" s="36"/>
      <c r="I172" s="30"/>
      <c r="J172" s="30"/>
      <c r="K172" s="74"/>
      <c r="L172" s="30"/>
      <c r="M172" s="30"/>
      <c r="N172" s="28"/>
      <c r="O172" s="28"/>
      <c r="P172" s="28"/>
      <c r="Q172" s="28"/>
      <c r="R172" s="28"/>
      <c r="S172" s="28"/>
      <c r="T172" s="28"/>
    </row>
    <row r="173" spans="1:20" s="2" customFormat="1" ht="10.5" customHeight="1">
      <c r="A173" s="31"/>
      <c r="B173" s="31"/>
      <c r="C173" s="32"/>
      <c r="D173" s="33"/>
      <c r="E173" s="33"/>
      <c r="F173" s="34"/>
      <c r="G173" s="35"/>
      <c r="H173" s="36"/>
      <c r="I173" s="30"/>
      <c r="J173" s="30"/>
      <c r="K173" s="74"/>
      <c r="L173" s="30"/>
      <c r="M173" s="30"/>
      <c r="N173" s="28"/>
      <c r="O173" s="28"/>
      <c r="P173" s="28"/>
      <c r="Q173" s="28"/>
      <c r="R173" s="28"/>
      <c r="S173" s="28"/>
      <c r="T173" s="28"/>
    </row>
    <row r="174" spans="1:20" s="2" customFormat="1" ht="10.5" customHeight="1">
      <c r="A174" s="31"/>
      <c r="B174" s="31"/>
      <c r="C174" s="32"/>
      <c r="D174" s="33"/>
      <c r="E174" s="33"/>
      <c r="F174" s="34"/>
      <c r="G174" s="35"/>
      <c r="H174" s="36"/>
      <c r="I174" s="30"/>
      <c r="J174" s="30"/>
      <c r="K174" s="74"/>
      <c r="L174" s="30"/>
      <c r="M174" s="30"/>
      <c r="N174" s="28"/>
      <c r="O174" s="28"/>
      <c r="P174" s="28"/>
      <c r="Q174" s="28"/>
      <c r="R174" s="28"/>
      <c r="S174" s="28"/>
      <c r="T174" s="28"/>
    </row>
    <row r="175" spans="1:20" s="2" customFormat="1" ht="10.5" customHeight="1">
      <c r="A175" s="31"/>
      <c r="B175" s="31"/>
      <c r="C175" s="32"/>
      <c r="D175" s="33"/>
      <c r="E175" s="33"/>
      <c r="F175" s="37"/>
      <c r="G175" s="38"/>
      <c r="H175" s="39"/>
      <c r="I175" s="30"/>
      <c r="J175" s="30"/>
      <c r="K175" s="74"/>
      <c r="L175" s="30"/>
      <c r="M175" s="30"/>
      <c r="N175" s="28"/>
      <c r="O175" s="28"/>
      <c r="P175" s="28"/>
      <c r="Q175" s="28"/>
      <c r="R175" s="28"/>
      <c r="S175" s="28"/>
      <c r="T175" s="28"/>
    </row>
    <row r="176" spans="1:20" s="2" customFormat="1" ht="10.5" customHeight="1">
      <c r="A176" s="31"/>
      <c r="B176" s="31"/>
      <c r="C176" s="32"/>
      <c r="D176" s="33"/>
      <c r="E176" s="33"/>
      <c r="F176" s="34"/>
      <c r="G176" s="35"/>
      <c r="H176" s="36"/>
      <c r="I176" s="30"/>
      <c r="J176" s="30"/>
      <c r="K176" s="74"/>
      <c r="L176" s="30"/>
      <c r="M176" s="30"/>
      <c r="N176" s="28"/>
      <c r="O176" s="28"/>
      <c r="P176" s="28"/>
      <c r="Q176" s="28"/>
      <c r="R176" s="28"/>
      <c r="S176" s="28"/>
      <c r="T176" s="28"/>
    </row>
    <row r="177" spans="1:20" s="2" customFormat="1" ht="10.5" customHeight="1">
      <c r="A177" s="31"/>
      <c r="B177" s="31"/>
      <c r="C177" s="32"/>
      <c r="D177" s="33"/>
      <c r="E177" s="33"/>
      <c r="F177" s="34"/>
      <c r="G177" s="35"/>
      <c r="H177" s="36"/>
      <c r="I177" s="30"/>
      <c r="J177" s="30"/>
      <c r="K177" s="74"/>
      <c r="L177" s="30"/>
      <c r="M177" s="30"/>
      <c r="N177" s="28"/>
      <c r="O177" s="28"/>
      <c r="P177" s="28"/>
      <c r="Q177" s="28"/>
      <c r="R177" s="28"/>
      <c r="S177" s="28"/>
      <c r="T177" s="28"/>
    </row>
    <row r="178" spans="1:20" s="2" customFormat="1" ht="10.5" customHeight="1">
      <c r="A178" s="31"/>
      <c r="B178" s="31"/>
      <c r="C178" s="32"/>
      <c r="D178" s="33"/>
      <c r="E178" s="33"/>
      <c r="F178" s="37"/>
      <c r="G178" s="38"/>
      <c r="H178" s="39"/>
      <c r="I178" s="30"/>
      <c r="J178" s="30"/>
      <c r="K178" s="74"/>
      <c r="L178" s="30"/>
      <c r="M178" s="30"/>
      <c r="N178" s="28"/>
      <c r="O178" s="28"/>
      <c r="P178" s="28"/>
      <c r="Q178" s="28"/>
      <c r="R178" s="28"/>
      <c r="S178" s="28"/>
      <c r="T178" s="28"/>
    </row>
    <row r="179" spans="1:20" s="2" customFormat="1" ht="10.5" customHeight="1">
      <c r="A179" s="31"/>
      <c r="B179" s="31"/>
      <c r="C179" s="32"/>
      <c r="D179" s="33"/>
      <c r="E179" s="33"/>
      <c r="F179" s="34"/>
      <c r="G179" s="35"/>
      <c r="H179" s="36"/>
      <c r="I179" s="30"/>
      <c r="J179" s="30"/>
      <c r="K179" s="74"/>
      <c r="L179" s="30"/>
      <c r="M179" s="30"/>
      <c r="N179" s="28"/>
      <c r="O179" s="28"/>
      <c r="P179" s="28"/>
      <c r="Q179" s="28"/>
      <c r="R179" s="28"/>
      <c r="S179" s="28"/>
      <c r="T179" s="28"/>
    </row>
    <row r="180" spans="1:20" s="2" customFormat="1" ht="10.5" customHeight="1">
      <c r="A180" s="31"/>
      <c r="B180" s="31"/>
      <c r="C180" s="32"/>
      <c r="D180" s="33"/>
      <c r="E180" s="33"/>
      <c r="F180" s="34"/>
      <c r="G180" s="35"/>
      <c r="H180" s="36"/>
      <c r="I180" s="30"/>
      <c r="J180" s="30"/>
      <c r="K180" s="74"/>
      <c r="L180" s="30"/>
      <c r="M180" s="30"/>
      <c r="N180" s="28"/>
      <c r="O180" s="28"/>
      <c r="P180" s="28"/>
      <c r="Q180" s="28"/>
      <c r="R180" s="28"/>
      <c r="S180" s="28"/>
      <c r="T180" s="28"/>
    </row>
    <row r="181" spans="1:20" s="2" customFormat="1" ht="10.5" customHeight="1">
      <c r="A181" s="31"/>
      <c r="B181" s="31"/>
      <c r="C181" s="32"/>
      <c r="D181" s="33"/>
      <c r="E181" s="33"/>
      <c r="F181" s="34"/>
      <c r="G181" s="35"/>
      <c r="H181" s="36"/>
      <c r="I181" s="30"/>
      <c r="J181" s="30"/>
      <c r="K181" s="74"/>
      <c r="L181" s="30"/>
      <c r="M181" s="30"/>
      <c r="N181" s="28"/>
      <c r="O181" s="28"/>
      <c r="P181" s="28"/>
      <c r="Q181" s="28"/>
      <c r="R181" s="28"/>
      <c r="S181" s="28"/>
      <c r="T181" s="28"/>
    </row>
    <row r="182" spans="1:20" s="2" customFormat="1" ht="10.5" customHeight="1">
      <c r="A182" s="31"/>
      <c r="B182" s="31"/>
      <c r="C182" s="32"/>
      <c r="D182" s="33"/>
      <c r="E182" s="33"/>
      <c r="F182" s="34"/>
      <c r="G182" s="35"/>
      <c r="H182" s="36"/>
      <c r="I182" s="30"/>
      <c r="J182" s="30"/>
      <c r="K182" s="74"/>
      <c r="L182" s="30"/>
      <c r="M182" s="30"/>
      <c r="N182" s="28"/>
      <c r="O182" s="28"/>
      <c r="P182" s="28"/>
      <c r="Q182" s="28"/>
      <c r="R182" s="28"/>
      <c r="S182" s="28"/>
      <c r="T182" s="28"/>
    </row>
    <row r="183" spans="1:20" s="2" customFormat="1" ht="10.5" customHeight="1">
      <c r="A183" s="31"/>
      <c r="B183" s="31"/>
      <c r="C183" s="32"/>
      <c r="D183" s="33"/>
      <c r="E183" s="33"/>
      <c r="F183" s="34"/>
      <c r="G183" s="35"/>
      <c r="H183" s="36"/>
      <c r="I183" s="30"/>
      <c r="J183" s="30"/>
      <c r="K183" s="74"/>
      <c r="L183" s="30"/>
      <c r="M183" s="30"/>
      <c r="N183" s="28"/>
      <c r="O183" s="28"/>
      <c r="P183" s="28"/>
      <c r="Q183" s="28"/>
      <c r="R183" s="28"/>
      <c r="S183" s="28"/>
      <c r="T183" s="28"/>
    </row>
    <row r="184" spans="1:20" s="2" customFormat="1" ht="10.5" customHeight="1">
      <c r="A184" s="31"/>
      <c r="B184" s="31"/>
      <c r="C184" s="32"/>
      <c r="D184" s="33"/>
      <c r="E184" s="33"/>
      <c r="F184" s="34"/>
      <c r="G184" s="35"/>
      <c r="H184" s="36"/>
      <c r="I184" s="30"/>
      <c r="J184" s="30"/>
      <c r="K184" s="74"/>
      <c r="L184" s="30"/>
      <c r="M184" s="30"/>
      <c r="N184" s="28"/>
      <c r="O184" s="28"/>
      <c r="P184" s="28"/>
      <c r="Q184" s="28"/>
      <c r="R184" s="28"/>
      <c r="S184" s="28"/>
      <c r="T184" s="28"/>
    </row>
    <row r="185" spans="1:20" s="2" customFormat="1" ht="10.5" customHeight="1">
      <c r="A185" s="31"/>
      <c r="B185" s="31"/>
      <c r="C185" s="32"/>
      <c r="D185" s="33"/>
      <c r="E185" s="33"/>
      <c r="F185" s="34"/>
      <c r="G185" s="35"/>
      <c r="H185" s="36"/>
      <c r="I185" s="30"/>
      <c r="J185" s="30"/>
      <c r="K185" s="74"/>
      <c r="L185" s="30"/>
      <c r="M185" s="30"/>
      <c r="N185" s="28"/>
      <c r="O185" s="28"/>
      <c r="P185" s="28"/>
      <c r="Q185" s="28"/>
      <c r="R185" s="28"/>
      <c r="S185" s="28"/>
      <c r="T185" s="28"/>
    </row>
    <row r="186" spans="1:20" s="2" customFormat="1" ht="10.5" customHeight="1">
      <c r="A186" s="31"/>
      <c r="B186" s="31"/>
      <c r="C186" s="32"/>
      <c r="D186" s="33"/>
      <c r="E186" s="33"/>
      <c r="F186" s="34"/>
      <c r="G186" s="35"/>
      <c r="H186" s="40"/>
      <c r="I186" s="30"/>
      <c r="J186" s="30"/>
      <c r="K186" s="74"/>
      <c r="L186" s="30"/>
      <c r="M186" s="30"/>
      <c r="N186" s="28"/>
      <c r="O186" s="28"/>
      <c r="P186" s="28"/>
      <c r="Q186" s="28"/>
      <c r="R186" s="28"/>
      <c r="S186" s="28"/>
      <c r="T186" s="28"/>
    </row>
    <row r="187" spans="1:20" s="2" customFormat="1" ht="10.5" customHeight="1">
      <c r="A187" s="31"/>
      <c r="B187" s="31"/>
      <c r="C187" s="32"/>
      <c r="D187" s="33"/>
      <c r="E187" s="33"/>
      <c r="F187" s="34"/>
      <c r="G187" s="35"/>
      <c r="H187" s="36"/>
      <c r="I187" s="30"/>
      <c r="J187" s="30"/>
      <c r="K187" s="74"/>
      <c r="L187" s="30"/>
      <c r="M187" s="30"/>
      <c r="N187" s="28"/>
      <c r="O187" s="28"/>
      <c r="P187" s="28"/>
      <c r="Q187" s="28"/>
      <c r="R187" s="28"/>
      <c r="S187" s="28"/>
      <c r="T187" s="28"/>
    </row>
    <row r="188" spans="1:20" s="2" customFormat="1" ht="10.5" customHeight="1">
      <c r="A188" s="31"/>
      <c r="B188" s="31"/>
      <c r="C188" s="32"/>
      <c r="D188" s="33"/>
      <c r="E188" s="33"/>
      <c r="F188" s="34"/>
      <c r="G188" s="35"/>
      <c r="H188" s="36"/>
      <c r="I188" s="30"/>
      <c r="J188" s="30"/>
      <c r="K188" s="74"/>
      <c r="L188" s="30"/>
      <c r="M188" s="30"/>
      <c r="N188" s="28"/>
      <c r="O188" s="28"/>
      <c r="P188" s="28"/>
      <c r="Q188" s="28"/>
      <c r="R188" s="28"/>
      <c r="S188" s="28"/>
      <c r="T188" s="28"/>
    </row>
    <row r="189" spans="1:20" s="2" customFormat="1" ht="10.5" customHeight="1">
      <c r="A189" s="31"/>
      <c r="B189" s="31"/>
      <c r="C189" s="32"/>
      <c r="D189" s="33"/>
      <c r="E189" s="33"/>
      <c r="F189" s="34"/>
      <c r="G189" s="35"/>
      <c r="H189" s="36"/>
      <c r="I189" s="30"/>
      <c r="J189" s="30"/>
      <c r="K189" s="74"/>
      <c r="L189" s="30"/>
      <c r="M189" s="30"/>
      <c r="N189" s="28"/>
      <c r="O189" s="28"/>
      <c r="P189" s="28"/>
      <c r="Q189" s="28"/>
      <c r="R189" s="28"/>
      <c r="S189" s="28"/>
      <c r="T189" s="28"/>
    </row>
    <row r="190" spans="1:20" s="2" customFormat="1" ht="10.5" customHeight="1">
      <c r="A190" s="31"/>
      <c r="B190" s="31"/>
      <c r="C190" s="32"/>
      <c r="D190" s="33"/>
      <c r="E190" s="33"/>
      <c r="F190" s="34"/>
      <c r="G190" s="35"/>
      <c r="H190" s="36"/>
      <c r="I190" s="30"/>
      <c r="J190" s="30"/>
      <c r="K190" s="74"/>
      <c r="L190" s="30"/>
      <c r="M190" s="30"/>
      <c r="N190" s="28"/>
      <c r="O190" s="28"/>
      <c r="P190" s="28"/>
      <c r="Q190" s="28"/>
      <c r="R190" s="28"/>
      <c r="S190" s="28"/>
      <c r="T190" s="28"/>
    </row>
    <row r="191" spans="1:20" s="2" customFormat="1" ht="10.5" customHeight="1">
      <c r="A191" s="31"/>
      <c r="B191" s="31"/>
      <c r="C191" s="32"/>
      <c r="D191" s="33"/>
      <c r="E191" s="33"/>
      <c r="F191" s="34"/>
      <c r="G191" s="35"/>
      <c r="H191" s="36"/>
      <c r="I191" s="30"/>
      <c r="J191" s="30"/>
      <c r="K191" s="74"/>
      <c r="L191" s="30"/>
      <c r="M191" s="30"/>
      <c r="N191" s="28"/>
      <c r="O191" s="28"/>
      <c r="P191" s="28"/>
      <c r="Q191" s="28"/>
      <c r="R191" s="28"/>
      <c r="S191" s="28"/>
      <c r="T191" s="28"/>
    </row>
    <row r="192" spans="1:20" s="2" customFormat="1" ht="10.5" customHeight="1">
      <c r="A192" s="31"/>
      <c r="B192" s="31"/>
      <c r="C192" s="32"/>
      <c r="D192" s="33"/>
      <c r="E192" s="33"/>
      <c r="F192" s="34"/>
      <c r="G192" s="35"/>
      <c r="H192" s="36"/>
      <c r="I192" s="30"/>
      <c r="J192" s="30"/>
      <c r="K192" s="74"/>
      <c r="L192" s="30"/>
      <c r="M192" s="30"/>
      <c r="N192" s="28"/>
      <c r="O192" s="28"/>
      <c r="P192" s="28"/>
      <c r="Q192" s="28"/>
      <c r="R192" s="28"/>
      <c r="S192" s="28"/>
      <c r="T192" s="28"/>
    </row>
    <row r="193" spans="1:20" s="2" customFormat="1" ht="10.5" customHeight="1">
      <c r="A193" s="31"/>
      <c r="B193" s="31"/>
      <c r="C193" s="32"/>
      <c r="D193" s="33"/>
      <c r="E193" s="33"/>
      <c r="F193" s="34"/>
      <c r="G193" s="35"/>
      <c r="H193" s="36"/>
      <c r="I193" s="30"/>
      <c r="J193" s="30"/>
      <c r="K193" s="74"/>
      <c r="L193" s="30"/>
      <c r="M193" s="30"/>
      <c r="N193" s="28"/>
      <c r="O193" s="28"/>
      <c r="P193" s="28"/>
      <c r="Q193" s="28"/>
      <c r="R193" s="28"/>
      <c r="S193" s="28"/>
      <c r="T193" s="28"/>
    </row>
    <row r="194" spans="1:20" s="2" customFormat="1" ht="10.5" customHeight="1">
      <c r="A194" s="31"/>
      <c r="B194" s="31"/>
      <c r="C194" s="32"/>
      <c r="D194" s="33"/>
      <c r="E194" s="33"/>
      <c r="F194" s="34"/>
      <c r="G194" s="35"/>
      <c r="H194" s="36"/>
      <c r="I194" s="30"/>
      <c r="J194" s="30"/>
      <c r="K194" s="74"/>
      <c r="L194" s="30"/>
      <c r="M194" s="30"/>
      <c r="N194" s="28"/>
      <c r="O194" s="28"/>
      <c r="P194" s="28"/>
      <c r="Q194" s="28"/>
      <c r="R194" s="28"/>
      <c r="S194" s="28"/>
      <c r="T194" s="28"/>
    </row>
    <row r="195" spans="1:20" s="2" customFormat="1" ht="10.5" customHeight="1">
      <c r="A195" s="31"/>
      <c r="B195" s="31"/>
      <c r="C195" s="32"/>
      <c r="D195" s="33"/>
      <c r="E195" s="33"/>
      <c r="F195" s="34"/>
      <c r="G195" s="35"/>
      <c r="H195" s="36"/>
      <c r="I195" s="30"/>
      <c r="J195" s="30"/>
      <c r="K195" s="74"/>
      <c r="L195" s="30"/>
      <c r="M195" s="30"/>
      <c r="N195" s="28"/>
      <c r="O195" s="28"/>
      <c r="P195" s="28"/>
      <c r="Q195" s="28"/>
      <c r="R195" s="28"/>
      <c r="S195" s="28"/>
      <c r="T195" s="28"/>
    </row>
    <row r="196" spans="1:20" s="2" customFormat="1" ht="10.5" customHeight="1">
      <c r="A196" s="31"/>
      <c r="B196" s="31"/>
      <c r="C196" s="32"/>
      <c r="D196" s="33"/>
      <c r="E196" s="33"/>
      <c r="F196" s="34"/>
      <c r="G196" s="35"/>
      <c r="H196" s="36"/>
      <c r="I196" s="30"/>
      <c r="J196" s="30"/>
      <c r="K196" s="74"/>
      <c r="L196" s="30"/>
      <c r="M196" s="30"/>
      <c r="N196" s="28"/>
      <c r="O196" s="28"/>
      <c r="P196" s="28"/>
      <c r="Q196" s="28"/>
      <c r="R196" s="28"/>
      <c r="S196" s="28"/>
      <c r="T196" s="28"/>
    </row>
    <row r="197" spans="1:20" s="2" customFormat="1" ht="10.5" customHeight="1">
      <c r="A197" s="31"/>
      <c r="B197" s="31"/>
      <c r="C197" s="32"/>
      <c r="D197" s="33"/>
      <c r="E197" s="33"/>
      <c r="F197" s="34"/>
      <c r="G197" s="35"/>
      <c r="H197" s="36"/>
      <c r="I197" s="30"/>
      <c r="J197" s="30"/>
      <c r="K197" s="74"/>
      <c r="L197" s="30"/>
      <c r="M197" s="30"/>
      <c r="N197" s="28"/>
      <c r="O197" s="28"/>
      <c r="P197" s="28"/>
      <c r="Q197" s="28"/>
      <c r="R197" s="28"/>
      <c r="S197" s="28"/>
      <c r="T197" s="28"/>
    </row>
    <row r="198" spans="1:20" s="2" customFormat="1" ht="10.5" customHeight="1">
      <c r="A198" s="31"/>
      <c r="B198" s="31"/>
      <c r="C198" s="32"/>
      <c r="D198" s="33"/>
      <c r="E198" s="33"/>
      <c r="F198" s="34"/>
      <c r="G198" s="35"/>
      <c r="H198" s="36"/>
      <c r="I198" s="30"/>
      <c r="J198" s="30"/>
      <c r="K198" s="74"/>
      <c r="L198" s="30"/>
      <c r="M198" s="30"/>
      <c r="N198" s="28"/>
      <c r="O198" s="28"/>
      <c r="P198" s="28"/>
      <c r="Q198" s="28"/>
      <c r="R198" s="28"/>
      <c r="S198" s="28"/>
      <c r="T198" s="28"/>
    </row>
    <row r="199" spans="1:20" s="2" customFormat="1" ht="10.5" customHeight="1">
      <c r="A199" s="31"/>
      <c r="B199" s="31"/>
      <c r="C199" s="32"/>
      <c r="D199" s="33"/>
      <c r="E199" s="33"/>
      <c r="F199" s="34"/>
      <c r="G199" s="35"/>
      <c r="H199" s="36"/>
      <c r="I199" s="30"/>
      <c r="J199" s="30"/>
      <c r="K199" s="74"/>
      <c r="L199" s="30"/>
      <c r="M199" s="30"/>
      <c r="N199" s="28"/>
      <c r="O199" s="28"/>
      <c r="P199" s="28"/>
      <c r="Q199" s="28"/>
      <c r="R199" s="28"/>
      <c r="S199" s="28"/>
      <c r="T199" s="28"/>
    </row>
    <row r="200" spans="1:20" s="2" customFormat="1" ht="10.5" customHeight="1">
      <c r="A200" s="31"/>
      <c r="B200" s="31"/>
      <c r="C200" s="32"/>
      <c r="D200" s="33"/>
      <c r="E200" s="33"/>
      <c r="F200" s="34"/>
      <c r="G200" s="35"/>
      <c r="H200" s="36"/>
      <c r="I200" s="30"/>
      <c r="J200" s="30"/>
      <c r="K200" s="74"/>
      <c r="L200" s="30"/>
      <c r="M200" s="30"/>
      <c r="N200" s="28"/>
      <c r="O200" s="28"/>
      <c r="P200" s="28"/>
      <c r="Q200" s="28"/>
      <c r="R200" s="28"/>
      <c r="S200" s="28"/>
      <c r="T200" s="28"/>
    </row>
    <row r="201" spans="1:20" s="2" customFormat="1" ht="10.5" customHeight="1">
      <c r="A201" s="31"/>
      <c r="B201" s="31"/>
      <c r="C201" s="32"/>
      <c r="D201" s="33"/>
      <c r="E201" s="33"/>
      <c r="F201" s="34"/>
      <c r="G201" s="35"/>
      <c r="H201" s="36"/>
      <c r="I201" s="30"/>
      <c r="J201" s="30"/>
      <c r="K201" s="74"/>
      <c r="L201" s="30"/>
      <c r="M201" s="30"/>
      <c r="N201" s="28"/>
      <c r="O201" s="28"/>
      <c r="P201" s="28"/>
      <c r="Q201" s="28"/>
      <c r="R201" s="28"/>
      <c r="S201" s="28"/>
      <c r="T201" s="28"/>
    </row>
    <row r="202" spans="1:20" s="2" customFormat="1" ht="10.5" customHeight="1">
      <c r="A202" s="31"/>
      <c r="B202" s="31"/>
      <c r="C202" s="32"/>
      <c r="D202" s="33"/>
      <c r="E202" s="33"/>
      <c r="F202" s="34"/>
      <c r="G202" s="35"/>
      <c r="H202" s="36"/>
      <c r="I202" s="30"/>
      <c r="J202" s="30"/>
      <c r="K202" s="74"/>
      <c r="L202" s="30"/>
      <c r="M202" s="30"/>
      <c r="N202" s="28"/>
      <c r="O202" s="28"/>
      <c r="P202" s="28"/>
      <c r="Q202" s="28"/>
      <c r="R202" s="28"/>
      <c r="S202" s="28"/>
      <c r="T202" s="28"/>
    </row>
    <row r="203" spans="1:20" s="2" customFormat="1" ht="10.5" customHeight="1">
      <c r="A203" s="31"/>
      <c r="B203" s="31"/>
      <c r="C203" s="32"/>
      <c r="D203" s="33"/>
      <c r="E203" s="33"/>
      <c r="F203" s="34"/>
      <c r="G203" s="35"/>
      <c r="H203" s="36"/>
      <c r="I203" s="30"/>
      <c r="J203" s="30"/>
      <c r="K203" s="74"/>
      <c r="L203" s="30"/>
      <c r="M203" s="30"/>
      <c r="N203" s="28"/>
      <c r="O203" s="28"/>
      <c r="P203" s="28"/>
      <c r="Q203" s="28"/>
      <c r="R203" s="28"/>
      <c r="S203" s="28"/>
      <c r="T203" s="28"/>
    </row>
    <row r="204" spans="1:20" s="2" customFormat="1" ht="10.5" customHeight="1">
      <c r="A204" s="31"/>
      <c r="B204" s="31"/>
      <c r="C204" s="32"/>
      <c r="D204" s="33"/>
      <c r="E204" s="33"/>
      <c r="F204" s="34"/>
      <c r="G204" s="35"/>
      <c r="H204" s="36"/>
      <c r="I204" s="30"/>
      <c r="J204" s="30"/>
      <c r="K204" s="74"/>
      <c r="L204" s="30"/>
      <c r="M204" s="30"/>
      <c r="N204" s="28"/>
      <c r="O204" s="28"/>
      <c r="P204" s="28"/>
      <c r="Q204" s="28"/>
      <c r="R204" s="28"/>
      <c r="S204" s="28"/>
      <c r="T204" s="28"/>
    </row>
    <row r="205" spans="1:20" s="2" customFormat="1" ht="10.5" customHeight="1">
      <c r="A205" s="31"/>
      <c r="B205" s="31"/>
      <c r="C205" s="32"/>
      <c r="D205" s="33"/>
      <c r="E205" s="33"/>
      <c r="F205" s="34"/>
      <c r="G205" s="35"/>
      <c r="H205" s="36"/>
      <c r="I205" s="30"/>
      <c r="J205" s="30"/>
      <c r="K205" s="74"/>
      <c r="L205" s="30"/>
      <c r="M205" s="30"/>
      <c r="N205" s="28"/>
      <c r="O205" s="28"/>
      <c r="P205" s="28"/>
      <c r="Q205" s="28"/>
      <c r="R205" s="28"/>
      <c r="S205" s="28"/>
      <c r="T205" s="28"/>
    </row>
    <row r="206" spans="1:20" s="2" customFormat="1" ht="10.5" customHeight="1">
      <c r="A206" s="31"/>
      <c r="B206" s="31"/>
      <c r="C206" s="32"/>
      <c r="D206" s="33"/>
      <c r="E206" s="33"/>
      <c r="F206" s="34"/>
      <c r="G206" s="35"/>
      <c r="H206" s="36"/>
      <c r="I206" s="30"/>
      <c r="J206" s="30"/>
      <c r="K206" s="74"/>
      <c r="L206" s="30"/>
      <c r="M206" s="30"/>
      <c r="N206" s="28"/>
      <c r="O206" s="28"/>
      <c r="P206" s="28"/>
      <c r="Q206" s="28"/>
      <c r="R206" s="28"/>
      <c r="S206" s="28"/>
      <c r="T206" s="28"/>
    </row>
    <row r="207" spans="1:20" s="2" customFormat="1" ht="10.5" customHeight="1">
      <c r="A207" s="31"/>
      <c r="B207" s="31"/>
      <c r="C207" s="32"/>
      <c r="D207" s="33"/>
      <c r="E207" s="33"/>
      <c r="F207" s="34"/>
      <c r="G207" s="35"/>
      <c r="H207" s="36"/>
      <c r="I207" s="30"/>
      <c r="J207" s="30"/>
      <c r="K207" s="74"/>
      <c r="L207" s="30"/>
      <c r="M207" s="30"/>
      <c r="N207" s="28"/>
      <c r="O207" s="28"/>
      <c r="P207" s="28"/>
      <c r="Q207" s="28"/>
      <c r="R207" s="28"/>
      <c r="S207" s="28"/>
      <c r="T207" s="28"/>
    </row>
    <row r="208" spans="1:20" s="2" customFormat="1" ht="10.5" customHeight="1">
      <c r="A208" s="31"/>
      <c r="B208" s="31"/>
      <c r="C208" s="32"/>
      <c r="D208" s="33"/>
      <c r="E208" s="33"/>
      <c r="F208" s="34"/>
      <c r="G208" s="35"/>
      <c r="H208" s="36"/>
      <c r="I208" s="30"/>
      <c r="J208" s="30"/>
      <c r="K208" s="74"/>
      <c r="L208" s="30"/>
      <c r="M208" s="30"/>
      <c r="N208" s="28"/>
      <c r="O208" s="28"/>
      <c r="P208" s="28"/>
      <c r="Q208" s="28"/>
      <c r="R208" s="28"/>
      <c r="S208" s="28"/>
      <c r="T208" s="28"/>
    </row>
    <row r="209" spans="1:20" s="2" customFormat="1" ht="10.5" customHeight="1">
      <c r="A209" s="31"/>
      <c r="B209" s="31"/>
      <c r="C209" s="32"/>
      <c r="D209" s="33"/>
      <c r="E209" s="33"/>
      <c r="F209" s="34"/>
      <c r="G209" s="35"/>
      <c r="H209" s="36"/>
      <c r="I209" s="30"/>
      <c r="J209" s="30"/>
      <c r="K209" s="74"/>
      <c r="L209" s="30"/>
      <c r="M209" s="30"/>
      <c r="N209" s="28"/>
      <c r="O209" s="28"/>
      <c r="P209" s="28"/>
      <c r="Q209" s="28"/>
      <c r="R209" s="28"/>
      <c r="S209" s="28"/>
      <c r="T209" s="28"/>
    </row>
    <row r="210" spans="1:20" s="2" customFormat="1" ht="10.5" customHeight="1">
      <c r="A210" s="31"/>
      <c r="B210" s="31"/>
      <c r="C210" s="32"/>
      <c r="D210" s="33"/>
      <c r="E210" s="33"/>
      <c r="F210" s="34"/>
      <c r="G210" s="35"/>
      <c r="H210" s="36"/>
      <c r="I210" s="30"/>
      <c r="J210" s="30"/>
      <c r="K210" s="74"/>
      <c r="L210" s="30"/>
      <c r="M210" s="30"/>
      <c r="N210" s="28"/>
      <c r="O210" s="28"/>
      <c r="P210" s="28"/>
      <c r="Q210" s="28"/>
      <c r="R210" s="28"/>
      <c r="S210" s="28"/>
      <c r="T210" s="28"/>
    </row>
    <row r="211" spans="1:20" s="2" customFormat="1" ht="10.5" customHeight="1">
      <c r="A211" s="31"/>
      <c r="B211" s="31"/>
      <c r="C211" s="32"/>
      <c r="D211" s="33"/>
      <c r="E211" s="33"/>
      <c r="F211" s="34"/>
      <c r="G211" s="35"/>
      <c r="H211" s="36"/>
      <c r="I211" s="30"/>
      <c r="J211" s="30"/>
      <c r="K211" s="74"/>
      <c r="L211" s="30"/>
      <c r="M211" s="30"/>
      <c r="N211" s="28"/>
      <c r="O211" s="28"/>
      <c r="P211" s="28"/>
      <c r="Q211" s="28"/>
      <c r="R211" s="28"/>
      <c r="S211" s="28"/>
      <c r="T211" s="28"/>
    </row>
    <row r="212" spans="1:20" s="2" customFormat="1" ht="10.5" customHeight="1">
      <c r="A212" s="31"/>
      <c r="B212" s="31"/>
      <c r="C212" s="32"/>
      <c r="D212" s="33"/>
      <c r="E212" s="33"/>
      <c r="F212" s="34"/>
      <c r="G212" s="35"/>
      <c r="H212" s="36"/>
      <c r="I212" s="30"/>
      <c r="J212" s="30"/>
      <c r="K212" s="74"/>
      <c r="L212" s="30"/>
      <c r="M212" s="30"/>
      <c r="N212" s="28"/>
      <c r="O212" s="28"/>
      <c r="P212" s="28"/>
      <c r="Q212" s="28"/>
      <c r="R212" s="28"/>
      <c r="S212" s="28"/>
      <c r="T212" s="28"/>
    </row>
    <row r="213" spans="1:20" s="2" customFormat="1" ht="10.5" customHeight="1">
      <c r="A213" s="31"/>
      <c r="B213" s="31"/>
      <c r="C213" s="32"/>
      <c r="D213" s="33"/>
      <c r="E213" s="33"/>
      <c r="F213" s="34"/>
      <c r="G213" s="35"/>
      <c r="H213" s="36"/>
      <c r="I213" s="30"/>
      <c r="J213" s="30"/>
      <c r="K213" s="74"/>
      <c r="L213" s="30"/>
      <c r="M213" s="30"/>
      <c r="N213" s="28"/>
      <c r="O213" s="28"/>
      <c r="P213" s="28"/>
      <c r="Q213" s="28"/>
      <c r="R213" s="28"/>
      <c r="S213" s="28"/>
      <c r="T213" s="28"/>
    </row>
    <row r="214" spans="1:20" s="2" customFormat="1" ht="10.5" customHeight="1">
      <c r="A214" s="31"/>
      <c r="B214" s="31"/>
      <c r="C214" s="32"/>
      <c r="D214" s="33"/>
      <c r="E214" s="33"/>
      <c r="F214" s="34"/>
      <c r="G214" s="35"/>
      <c r="H214" s="36"/>
      <c r="I214" s="30"/>
      <c r="J214" s="30"/>
      <c r="K214" s="74"/>
      <c r="L214" s="30"/>
      <c r="M214" s="30"/>
      <c r="N214" s="28"/>
      <c r="O214" s="28"/>
      <c r="P214" s="28"/>
      <c r="Q214" s="28"/>
      <c r="R214" s="28"/>
      <c r="S214" s="28"/>
      <c r="T214" s="28"/>
    </row>
    <row r="215" spans="1:20" s="2" customFormat="1" ht="10.5" customHeight="1">
      <c r="A215" s="31"/>
      <c r="B215" s="31"/>
      <c r="C215" s="32"/>
      <c r="D215" s="33"/>
      <c r="E215" s="33"/>
      <c r="F215" s="34"/>
      <c r="G215" s="35"/>
      <c r="H215" s="36"/>
      <c r="I215" s="30"/>
      <c r="J215" s="30"/>
      <c r="K215" s="74"/>
      <c r="L215" s="30"/>
      <c r="M215" s="30"/>
      <c r="N215" s="28"/>
      <c r="O215" s="28"/>
      <c r="P215" s="28"/>
      <c r="Q215" s="28"/>
      <c r="R215" s="28"/>
      <c r="S215" s="28"/>
      <c r="T215" s="28"/>
    </row>
    <row r="216" spans="1:20" s="2" customFormat="1" ht="10.5" customHeight="1">
      <c r="A216" s="31"/>
      <c r="B216" s="31"/>
      <c r="C216" s="32"/>
      <c r="D216" s="33"/>
      <c r="E216" s="33"/>
      <c r="F216" s="34"/>
      <c r="G216" s="35"/>
      <c r="H216" s="36"/>
      <c r="I216" s="30"/>
      <c r="J216" s="30"/>
      <c r="K216" s="74"/>
      <c r="L216" s="30"/>
      <c r="M216" s="30"/>
      <c r="N216" s="28"/>
      <c r="O216" s="28"/>
      <c r="P216" s="28"/>
      <c r="Q216" s="28"/>
      <c r="R216" s="28"/>
      <c r="S216" s="28"/>
      <c r="T216" s="28"/>
    </row>
    <row r="217" spans="1:20" s="2" customFormat="1" ht="10.5" customHeight="1">
      <c r="A217" s="31"/>
      <c r="B217" s="31"/>
      <c r="C217" s="32"/>
      <c r="D217" s="33"/>
      <c r="E217" s="33"/>
      <c r="F217" s="34"/>
      <c r="G217" s="35"/>
      <c r="H217" s="36"/>
      <c r="I217" s="30"/>
      <c r="J217" s="30"/>
      <c r="K217" s="74"/>
      <c r="L217" s="30"/>
      <c r="M217" s="30"/>
      <c r="N217" s="28"/>
      <c r="O217" s="28"/>
      <c r="P217" s="28"/>
      <c r="Q217" s="28"/>
      <c r="R217" s="28"/>
      <c r="S217" s="28"/>
      <c r="T217" s="28"/>
    </row>
    <row r="218" spans="1:20" s="2" customFormat="1" ht="10.5" customHeight="1">
      <c r="A218" s="31"/>
      <c r="B218" s="31"/>
      <c r="C218" s="32"/>
      <c r="D218" s="33"/>
      <c r="E218" s="33"/>
      <c r="F218" s="34"/>
      <c r="G218" s="35"/>
      <c r="H218" s="36"/>
      <c r="I218" s="30"/>
      <c r="J218" s="30"/>
      <c r="K218" s="74"/>
      <c r="L218" s="30"/>
      <c r="M218" s="30"/>
      <c r="N218" s="28"/>
      <c r="O218" s="28"/>
      <c r="P218" s="28"/>
      <c r="Q218" s="28"/>
      <c r="R218" s="28"/>
      <c r="S218" s="28"/>
      <c r="T218" s="28"/>
    </row>
    <row r="219" spans="1:20" s="2" customFormat="1" ht="10.5" customHeight="1">
      <c r="A219" s="31"/>
      <c r="B219" s="31"/>
      <c r="C219" s="32"/>
      <c r="D219" s="33"/>
      <c r="E219" s="33"/>
      <c r="F219" s="34"/>
      <c r="G219" s="35"/>
      <c r="H219" s="36"/>
      <c r="I219" s="30"/>
      <c r="J219" s="30"/>
      <c r="K219" s="74"/>
      <c r="L219" s="30"/>
      <c r="M219" s="30"/>
      <c r="N219" s="28"/>
      <c r="O219" s="28"/>
      <c r="P219" s="28"/>
      <c r="Q219" s="28"/>
      <c r="R219" s="28"/>
      <c r="S219" s="28"/>
      <c r="T219" s="28"/>
    </row>
    <row r="220" spans="1:20" s="2" customFormat="1" ht="10.5" customHeight="1">
      <c r="A220" s="31"/>
      <c r="B220" s="31"/>
      <c r="C220" s="32"/>
      <c r="D220" s="33"/>
      <c r="E220" s="33"/>
      <c r="F220" s="34"/>
      <c r="G220" s="35"/>
      <c r="H220" s="36"/>
      <c r="I220" s="30"/>
      <c r="J220" s="30"/>
      <c r="K220" s="74"/>
      <c r="L220" s="30"/>
      <c r="M220" s="30"/>
      <c r="N220" s="28"/>
      <c r="O220" s="28"/>
      <c r="P220" s="28"/>
      <c r="Q220" s="28"/>
      <c r="R220" s="28"/>
      <c r="S220" s="28"/>
      <c r="T220" s="28"/>
    </row>
    <row r="221" spans="1:20" s="2" customFormat="1" ht="10.5" customHeight="1">
      <c r="A221" s="31"/>
      <c r="B221" s="31"/>
      <c r="C221" s="32"/>
      <c r="D221" s="33"/>
      <c r="E221" s="33"/>
      <c r="F221" s="34"/>
      <c r="G221" s="35"/>
      <c r="H221" s="36"/>
      <c r="I221" s="30"/>
      <c r="J221" s="30"/>
      <c r="K221" s="74"/>
      <c r="L221" s="30"/>
      <c r="M221" s="30"/>
      <c r="N221" s="28"/>
      <c r="O221" s="28"/>
      <c r="P221" s="28"/>
      <c r="Q221" s="28"/>
      <c r="R221" s="28"/>
      <c r="S221" s="28"/>
      <c r="T221" s="28"/>
    </row>
    <row r="222" spans="1:20" s="2" customFormat="1" ht="10.5" customHeight="1">
      <c r="A222" s="31"/>
      <c r="B222" s="31"/>
      <c r="C222" s="32"/>
      <c r="D222" s="33"/>
      <c r="E222" s="33"/>
      <c r="F222" s="34"/>
      <c r="G222" s="35"/>
      <c r="H222" s="36"/>
      <c r="I222" s="30"/>
      <c r="J222" s="30"/>
      <c r="K222" s="74"/>
      <c r="L222" s="30"/>
      <c r="M222" s="30"/>
      <c r="N222" s="28"/>
      <c r="O222" s="28"/>
      <c r="P222" s="28"/>
      <c r="Q222" s="28"/>
      <c r="R222" s="28"/>
      <c r="S222" s="28"/>
      <c r="T222" s="28"/>
    </row>
    <row r="223" spans="1:20" s="2" customFormat="1" ht="10.5" customHeight="1">
      <c r="A223" s="31"/>
      <c r="B223" s="31"/>
      <c r="C223" s="32"/>
      <c r="D223" s="33"/>
      <c r="E223" s="33"/>
      <c r="F223" s="34"/>
      <c r="G223" s="35"/>
      <c r="H223" s="36"/>
      <c r="I223" s="30"/>
      <c r="J223" s="30"/>
      <c r="K223" s="74"/>
      <c r="L223" s="30"/>
      <c r="M223" s="30"/>
      <c r="N223" s="28"/>
      <c r="O223" s="28"/>
      <c r="P223" s="28"/>
      <c r="Q223" s="28"/>
      <c r="R223" s="28"/>
      <c r="S223" s="28"/>
      <c r="T223" s="28"/>
    </row>
    <row r="224" spans="1:20" s="2" customFormat="1" ht="10.5" customHeight="1">
      <c r="A224" s="31"/>
      <c r="B224" s="31"/>
      <c r="C224" s="32"/>
      <c r="D224" s="33"/>
      <c r="E224" s="33"/>
      <c r="F224" s="34"/>
      <c r="G224" s="35"/>
      <c r="H224" s="36"/>
      <c r="I224" s="30"/>
      <c r="J224" s="30"/>
      <c r="K224" s="74"/>
      <c r="L224" s="30"/>
      <c r="M224" s="30"/>
      <c r="N224" s="28"/>
      <c r="O224" s="28"/>
      <c r="P224" s="28"/>
      <c r="Q224" s="28"/>
      <c r="R224" s="28"/>
      <c r="S224" s="28"/>
      <c r="T224" s="28"/>
    </row>
    <row r="225" spans="1:20" s="2" customFormat="1" ht="2.25" customHeight="1">
      <c r="A225" s="41"/>
      <c r="B225" s="41"/>
      <c r="C225" s="41"/>
      <c r="D225" s="42"/>
      <c r="E225" s="43"/>
      <c r="F225" s="43"/>
      <c r="G225" s="43"/>
      <c r="H225" s="43"/>
      <c r="I225" s="30"/>
      <c r="J225" s="30"/>
      <c r="K225" s="74"/>
      <c r="L225" s="30"/>
      <c r="M225" s="30"/>
      <c r="N225" s="28"/>
      <c r="O225" s="28"/>
      <c r="P225" s="28"/>
      <c r="Q225" s="28"/>
      <c r="R225" s="28"/>
      <c r="S225" s="28"/>
      <c r="T225" s="28"/>
    </row>
    <row r="226" spans="1:20" s="2" customFormat="1" ht="12" customHeight="1">
      <c r="A226" s="44"/>
      <c r="B226" s="44"/>
      <c r="C226" s="44"/>
      <c r="D226" s="45"/>
      <c r="E226" s="45"/>
      <c r="F226" s="46"/>
      <c r="G226" s="46"/>
      <c r="H226" s="47"/>
      <c r="I226" s="30"/>
      <c r="J226" s="30"/>
      <c r="K226" s="74"/>
      <c r="L226" s="30"/>
      <c r="M226" s="30"/>
      <c r="N226" s="28"/>
      <c r="O226" s="28"/>
      <c r="P226" s="28"/>
      <c r="Q226" s="28"/>
      <c r="R226" s="28"/>
      <c r="S226" s="28"/>
      <c r="T226" s="28"/>
    </row>
    <row r="227" spans="1:20" s="2" customFormat="1" ht="14.25" customHeight="1">
      <c r="A227" s="48"/>
      <c r="B227" s="48"/>
      <c r="C227" s="48"/>
      <c r="D227" s="49"/>
      <c r="E227" s="50"/>
      <c r="F227" s="49"/>
      <c r="G227" s="51"/>
      <c r="H227" s="51"/>
      <c r="I227" s="30"/>
      <c r="J227" s="30"/>
      <c r="K227" s="74"/>
      <c r="L227" s="30"/>
      <c r="M227" s="30"/>
      <c r="N227" s="28"/>
      <c r="O227" s="28"/>
      <c r="P227" s="28"/>
      <c r="Q227" s="28"/>
      <c r="R227" s="28"/>
      <c r="S227" s="28"/>
      <c r="T227" s="28"/>
    </row>
    <row r="228" spans="1:20" s="2" customFormat="1" ht="10.5" customHeight="1">
      <c r="A228" s="47"/>
      <c r="B228" s="47"/>
      <c r="C228" s="47"/>
      <c r="D228" s="45"/>
      <c r="E228" s="45"/>
      <c r="F228" s="46"/>
      <c r="G228" s="46"/>
      <c r="H228" s="47"/>
      <c r="I228" s="30"/>
      <c r="J228" s="30"/>
      <c r="K228" s="74"/>
      <c r="L228" s="30"/>
      <c r="M228" s="30"/>
      <c r="N228" s="28"/>
      <c r="O228" s="28"/>
      <c r="P228" s="28"/>
      <c r="Q228" s="28"/>
      <c r="R228" s="28"/>
      <c r="S228" s="28"/>
      <c r="T228" s="28"/>
    </row>
    <row r="229" spans="1:20" s="2" customFormat="1" ht="18.75" customHeight="1">
      <c r="A229" s="47"/>
      <c r="B229" s="47"/>
      <c r="C229" s="47"/>
      <c r="D229" s="47"/>
      <c r="E229" s="47"/>
      <c r="F229" s="47"/>
      <c r="G229" s="47"/>
      <c r="H229" s="47"/>
      <c r="I229" s="30"/>
      <c r="J229" s="30"/>
      <c r="K229" s="74"/>
      <c r="L229" s="30"/>
      <c r="M229" s="30"/>
      <c r="N229" s="28"/>
      <c r="O229" s="28"/>
      <c r="P229" s="28"/>
      <c r="Q229" s="28"/>
      <c r="R229" s="28"/>
      <c r="S229" s="28"/>
      <c r="T229" s="28"/>
    </row>
    <row r="230" spans="1:20" s="2" customFormat="1" ht="1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74"/>
      <c r="L230" s="30"/>
      <c r="M230" s="30"/>
      <c r="N230" s="28"/>
      <c r="O230" s="28"/>
      <c r="P230" s="28"/>
      <c r="Q230" s="28"/>
      <c r="R230" s="28"/>
    </row>
    <row r="231" spans="1:20" s="2" customFormat="1" ht="1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74"/>
      <c r="L231" s="30"/>
      <c r="M231" s="30"/>
      <c r="N231" s="28"/>
      <c r="O231" s="28"/>
      <c r="P231" s="28"/>
      <c r="Q231" s="28"/>
      <c r="R231" s="28"/>
    </row>
    <row r="232" spans="1:20" s="2" customFormat="1" ht="1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74"/>
      <c r="L232" s="30"/>
      <c r="M232" s="30"/>
      <c r="N232" s="28"/>
      <c r="O232" s="28"/>
      <c r="P232" s="28"/>
      <c r="Q232" s="28"/>
      <c r="R232" s="28"/>
    </row>
    <row r="233" spans="1:20" s="2" customFormat="1" ht="1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74"/>
      <c r="L233" s="30"/>
      <c r="M233" s="30"/>
      <c r="N233" s="28"/>
      <c r="O233" s="28"/>
      <c r="P233" s="28"/>
      <c r="Q233" s="28"/>
      <c r="R233" s="28"/>
    </row>
    <row r="234" spans="1:20" s="2" customFormat="1" ht="1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74"/>
      <c r="L234" s="30"/>
      <c r="M234" s="30"/>
      <c r="N234" s="28"/>
      <c r="O234" s="28"/>
      <c r="P234" s="28"/>
      <c r="Q234" s="28"/>
      <c r="R234" s="28"/>
    </row>
    <row r="235" spans="1:20" s="2" customFormat="1" ht="1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74"/>
      <c r="L235" s="30"/>
      <c r="M235" s="30"/>
      <c r="N235" s="28"/>
      <c r="O235" s="28"/>
      <c r="P235" s="28"/>
      <c r="Q235" s="28"/>
      <c r="R235" s="28"/>
    </row>
    <row r="236" spans="1:20" s="2" customFormat="1" ht="1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74"/>
      <c r="L236" s="30"/>
      <c r="M236" s="30"/>
      <c r="N236" s="28"/>
      <c r="O236" s="28"/>
      <c r="P236" s="28"/>
      <c r="Q236" s="28"/>
      <c r="R236" s="28"/>
    </row>
    <row r="237" spans="1:20" s="2" customFormat="1" ht="1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74"/>
      <c r="L237" s="30"/>
      <c r="M237" s="30"/>
      <c r="N237" s="28"/>
      <c r="O237" s="28"/>
      <c r="P237" s="28"/>
      <c r="Q237" s="28"/>
      <c r="R237" s="28"/>
    </row>
    <row r="238" spans="1:20" s="2" customFormat="1" ht="12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74"/>
      <c r="L238" s="30"/>
      <c r="M238" s="30"/>
      <c r="N238" s="28"/>
      <c r="O238" s="28"/>
      <c r="P238" s="28"/>
      <c r="Q238" s="28"/>
      <c r="R238" s="28"/>
    </row>
    <row r="239" spans="1:20" s="2" customFormat="1" ht="12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74"/>
      <c r="L239" s="30"/>
      <c r="M239" s="30"/>
      <c r="N239" s="28"/>
      <c r="O239" s="28"/>
      <c r="P239" s="28"/>
      <c r="Q239" s="28"/>
      <c r="R239" s="28"/>
    </row>
    <row r="240" spans="1:20" s="2" customFormat="1" ht="12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74"/>
      <c r="L240" s="30"/>
      <c r="M240" s="30"/>
      <c r="N240" s="28"/>
      <c r="O240" s="28"/>
      <c r="P240" s="28"/>
      <c r="Q240" s="28"/>
      <c r="R240" s="28"/>
    </row>
    <row r="241" spans="1:18" s="2" customFormat="1" ht="12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74"/>
      <c r="L241" s="30"/>
      <c r="M241" s="30"/>
      <c r="N241" s="28"/>
      <c r="O241" s="28"/>
      <c r="P241" s="28"/>
      <c r="Q241" s="28"/>
      <c r="R241" s="28"/>
    </row>
    <row r="242" spans="1:18" s="2" customFormat="1" ht="12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74"/>
      <c r="L242" s="30"/>
      <c r="M242" s="30"/>
      <c r="N242" s="28"/>
      <c r="O242" s="28"/>
      <c r="P242" s="28"/>
      <c r="Q242" s="28"/>
      <c r="R242" s="28"/>
    </row>
    <row r="243" spans="1:18" s="2" customFormat="1" ht="12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74"/>
      <c r="L243" s="30"/>
      <c r="M243" s="30"/>
      <c r="N243" s="28"/>
      <c r="O243" s="28"/>
      <c r="P243" s="28"/>
      <c r="Q243" s="28"/>
      <c r="R243" s="28"/>
    </row>
    <row r="244" spans="1:18" s="2" customFormat="1" ht="12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74"/>
      <c r="L244" s="30"/>
      <c r="M244" s="30"/>
      <c r="N244" s="28"/>
      <c r="O244" s="28"/>
      <c r="P244" s="28"/>
      <c r="Q244" s="28"/>
      <c r="R244" s="28"/>
    </row>
    <row r="245" spans="1:18" s="2" customFormat="1" ht="12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74"/>
      <c r="L245" s="30"/>
      <c r="M245" s="30"/>
      <c r="N245" s="28"/>
      <c r="O245" s="28"/>
      <c r="P245" s="28"/>
      <c r="Q245" s="28"/>
      <c r="R245" s="28"/>
    </row>
    <row r="246" spans="1:18" s="2" customFormat="1" ht="12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74"/>
      <c r="L246" s="30"/>
      <c r="M246" s="30"/>
      <c r="N246" s="28"/>
      <c r="O246" s="28"/>
      <c r="P246" s="28"/>
      <c r="Q246" s="28"/>
      <c r="R246" s="28"/>
    </row>
    <row r="247" spans="1:18" s="2" customFormat="1" ht="12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74"/>
      <c r="L247" s="30"/>
      <c r="M247" s="30"/>
      <c r="N247" s="28"/>
      <c r="O247" s="28"/>
      <c r="P247" s="28"/>
      <c r="Q247" s="28"/>
      <c r="R247" s="28"/>
    </row>
    <row r="248" spans="1:18" s="2" customFormat="1" ht="12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74"/>
      <c r="L248" s="30"/>
      <c r="M248" s="30"/>
      <c r="N248" s="28"/>
      <c r="O248" s="28"/>
      <c r="P248" s="28"/>
      <c r="Q248" s="28"/>
      <c r="R248" s="28"/>
    </row>
    <row r="249" spans="1:18" s="2" customFormat="1" ht="12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74"/>
      <c r="L249" s="30"/>
      <c r="M249" s="30"/>
      <c r="N249" s="28"/>
      <c r="O249" s="28"/>
      <c r="P249" s="28"/>
      <c r="Q249" s="28"/>
      <c r="R249" s="28"/>
    </row>
    <row r="250" spans="1:18" s="2" customFormat="1" ht="12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74"/>
      <c r="L250" s="30"/>
      <c r="M250" s="30"/>
      <c r="N250" s="28"/>
      <c r="O250" s="28"/>
      <c r="P250" s="28"/>
      <c r="Q250" s="28"/>
      <c r="R250" s="28"/>
    </row>
    <row r="251" spans="1:18" s="2" customFormat="1" ht="12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74"/>
      <c r="L251" s="30"/>
      <c r="M251" s="30"/>
      <c r="N251" s="28"/>
      <c r="O251" s="28"/>
      <c r="P251" s="28"/>
      <c r="Q251" s="28"/>
      <c r="R251" s="28"/>
    </row>
    <row r="252" spans="1:18" s="2" customFormat="1" ht="12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74"/>
      <c r="L252" s="30"/>
      <c r="M252" s="30"/>
      <c r="N252" s="28"/>
      <c r="O252" s="28"/>
      <c r="P252" s="28"/>
      <c r="Q252" s="28"/>
      <c r="R252" s="28"/>
    </row>
    <row r="253" spans="1:18" s="2" customFormat="1" ht="12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74"/>
      <c r="L253" s="30"/>
      <c r="M253" s="30"/>
      <c r="N253" s="28"/>
      <c r="O253" s="28"/>
      <c r="P253" s="28"/>
      <c r="Q253" s="28"/>
      <c r="R253" s="28"/>
    </row>
    <row r="254" spans="1:18" s="2" customFormat="1" ht="12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74"/>
      <c r="L254" s="30"/>
      <c r="M254" s="30"/>
      <c r="N254" s="28"/>
      <c r="O254" s="28"/>
      <c r="P254" s="28"/>
      <c r="Q254" s="28"/>
      <c r="R254" s="28"/>
    </row>
    <row r="255" spans="1:18" s="2" customFormat="1" ht="12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74"/>
      <c r="L255" s="30"/>
      <c r="M255" s="30"/>
      <c r="N255" s="28"/>
      <c r="O255" s="28"/>
      <c r="P255" s="28"/>
      <c r="Q255" s="28"/>
      <c r="R255" s="28"/>
    </row>
    <row r="256" spans="1:18" s="2" customFormat="1" ht="12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74"/>
      <c r="L256" s="30"/>
      <c r="M256" s="30"/>
      <c r="N256" s="28"/>
      <c r="O256" s="28"/>
      <c r="P256" s="28"/>
      <c r="Q256" s="28"/>
      <c r="R256" s="28"/>
    </row>
    <row r="257" spans="1:18" s="2" customFormat="1" ht="12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74"/>
      <c r="L257" s="30"/>
      <c r="M257" s="30"/>
      <c r="N257" s="28"/>
      <c r="O257" s="28"/>
      <c r="P257" s="28"/>
      <c r="Q257" s="28"/>
      <c r="R257" s="28"/>
    </row>
    <row r="258" spans="1:18" s="2" customFormat="1" ht="12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74"/>
      <c r="L258" s="30"/>
      <c r="M258" s="30"/>
      <c r="N258" s="28"/>
      <c r="O258" s="28"/>
      <c r="P258" s="28"/>
      <c r="Q258" s="28"/>
      <c r="R258" s="28"/>
    </row>
    <row r="259" spans="1:18" s="2" customFormat="1" ht="12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74"/>
      <c r="L259" s="30"/>
      <c r="M259" s="30"/>
      <c r="N259" s="28"/>
      <c r="O259" s="28"/>
      <c r="P259" s="28"/>
      <c r="Q259" s="28"/>
      <c r="R259" s="28"/>
    </row>
    <row r="260" spans="1:18" s="2" customFormat="1" ht="12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74"/>
      <c r="L260" s="30"/>
      <c r="M260" s="30"/>
      <c r="N260" s="28"/>
      <c r="O260" s="28"/>
      <c r="P260" s="28"/>
      <c r="Q260" s="28"/>
      <c r="R260" s="28"/>
    </row>
    <row r="261" spans="1:18" s="2" customFormat="1" ht="12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74"/>
      <c r="L261" s="30"/>
      <c r="M261" s="30"/>
      <c r="N261" s="28"/>
      <c r="O261" s="28"/>
      <c r="P261" s="28"/>
      <c r="Q261" s="28"/>
      <c r="R261" s="28"/>
    </row>
    <row r="262" spans="1:18" s="2" customFormat="1" ht="12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74"/>
      <c r="L262" s="30"/>
      <c r="M262" s="30"/>
      <c r="N262" s="28"/>
      <c r="O262" s="28"/>
      <c r="P262" s="28"/>
      <c r="Q262" s="28"/>
      <c r="R262" s="28"/>
    </row>
    <row r="263" spans="1:18" s="2" customFormat="1" ht="12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74"/>
      <c r="L263" s="30"/>
      <c r="M263" s="30"/>
      <c r="N263" s="28"/>
      <c r="O263" s="28"/>
      <c r="P263" s="28"/>
      <c r="Q263" s="28"/>
      <c r="R263" s="28"/>
    </row>
    <row r="264" spans="1:18" s="2" customFormat="1" ht="12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74"/>
      <c r="L264" s="30"/>
      <c r="M264" s="30"/>
      <c r="N264" s="28"/>
      <c r="O264" s="28"/>
      <c r="P264" s="28"/>
      <c r="Q264" s="28"/>
      <c r="R264" s="28"/>
    </row>
    <row r="265" spans="1:18" s="2" customFormat="1" ht="12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74"/>
      <c r="L265" s="30"/>
      <c r="M265" s="30"/>
      <c r="N265" s="28"/>
      <c r="O265" s="28"/>
      <c r="P265" s="28"/>
      <c r="Q265" s="28"/>
      <c r="R265" s="28"/>
    </row>
    <row r="266" spans="1:18" s="2" customFormat="1" ht="12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74"/>
      <c r="L266" s="30"/>
      <c r="M266" s="30"/>
      <c r="N266" s="28"/>
      <c r="O266" s="28"/>
      <c r="P266" s="28"/>
      <c r="Q266" s="28"/>
      <c r="R266" s="28"/>
    </row>
    <row r="267" spans="1:18" s="2" customFormat="1" ht="12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74"/>
      <c r="L267" s="30"/>
      <c r="M267" s="30"/>
      <c r="N267" s="28"/>
      <c r="O267" s="28"/>
      <c r="P267" s="28"/>
      <c r="Q267" s="28"/>
      <c r="R267" s="28"/>
    </row>
    <row r="268" spans="1:18" s="2" customFormat="1" ht="12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74"/>
      <c r="L268" s="30"/>
      <c r="M268" s="30"/>
      <c r="N268" s="28"/>
      <c r="O268" s="28"/>
      <c r="P268" s="28"/>
      <c r="Q268" s="28"/>
      <c r="R268" s="28"/>
    </row>
    <row r="269" spans="1:18" s="2" customFormat="1" ht="12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74"/>
      <c r="L269" s="30"/>
      <c r="M269" s="30"/>
      <c r="N269" s="28"/>
      <c r="O269" s="28"/>
      <c r="P269" s="28"/>
      <c r="Q269" s="28"/>
      <c r="R269" s="28"/>
    </row>
    <row r="270" spans="1:18" s="2" customFormat="1" ht="12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74"/>
      <c r="L270" s="30"/>
      <c r="M270" s="30"/>
      <c r="N270" s="28"/>
      <c r="O270" s="28"/>
      <c r="P270" s="28"/>
      <c r="Q270" s="28"/>
      <c r="R270" s="28"/>
    </row>
    <row r="271" spans="1:18" s="2" customFormat="1" ht="12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74"/>
      <c r="L271" s="30"/>
      <c r="M271" s="30"/>
      <c r="N271" s="28"/>
      <c r="O271" s="28"/>
      <c r="P271" s="28"/>
      <c r="Q271" s="28"/>
      <c r="R271" s="28"/>
    </row>
    <row r="272" spans="1:18" s="2" customFormat="1" ht="12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74"/>
      <c r="L272" s="30"/>
      <c r="M272" s="30"/>
      <c r="N272" s="28"/>
      <c r="O272" s="28"/>
      <c r="P272" s="28"/>
      <c r="Q272" s="28"/>
      <c r="R272" s="28"/>
    </row>
    <row r="273" spans="1:18" s="2" customFormat="1" ht="12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74"/>
      <c r="L273" s="30"/>
      <c r="M273" s="30"/>
      <c r="N273" s="28"/>
      <c r="O273" s="28"/>
      <c r="P273" s="28"/>
      <c r="Q273" s="28"/>
      <c r="R273" s="28"/>
    </row>
    <row r="274" spans="1:18" s="2" customFormat="1" ht="12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74"/>
      <c r="L274" s="30"/>
      <c r="M274" s="30"/>
      <c r="N274" s="28"/>
      <c r="O274" s="28"/>
      <c r="P274" s="28"/>
      <c r="Q274" s="28"/>
      <c r="R274" s="28"/>
    </row>
    <row r="275" spans="1:18" s="2" customFormat="1" ht="12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74"/>
      <c r="L275" s="30"/>
      <c r="M275" s="30"/>
      <c r="N275" s="28"/>
      <c r="O275" s="28"/>
      <c r="P275" s="28"/>
      <c r="Q275" s="28"/>
      <c r="R275" s="28"/>
    </row>
    <row r="276" spans="1:18" s="2" customFormat="1" ht="12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74"/>
      <c r="L276" s="30"/>
      <c r="M276" s="30"/>
      <c r="N276" s="28"/>
      <c r="O276" s="28"/>
      <c r="P276" s="28"/>
      <c r="Q276" s="28"/>
      <c r="R276" s="28"/>
    </row>
    <row r="277" spans="1:18" s="2" customFormat="1" ht="12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74"/>
      <c r="L277" s="30"/>
      <c r="M277" s="30"/>
      <c r="N277" s="28"/>
      <c r="O277" s="28"/>
      <c r="P277" s="28"/>
      <c r="Q277" s="28"/>
      <c r="R277" s="28"/>
    </row>
    <row r="278" spans="1:18" s="2" customFormat="1" ht="12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74"/>
      <c r="L278" s="30"/>
      <c r="M278" s="30"/>
      <c r="N278" s="28"/>
      <c r="O278" s="28"/>
      <c r="P278" s="28"/>
      <c r="Q278" s="28"/>
      <c r="R278" s="28"/>
    </row>
    <row r="279" spans="1:18" s="2" customFormat="1" ht="12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74"/>
      <c r="L279" s="30"/>
      <c r="M279" s="30"/>
      <c r="N279" s="28"/>
      <c r="O279" s="28"/>
      <c r="P279" s="28"/>
      <c r="Q279" s="28"/>
      <c r="R279" s="28"/>
    </row>
    <row r="280" spans="1:18" s="2" customFormat="1" ht="12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74"/>
      <c r="L280" s="30"/>
      <c r="M280" s="30"/>
      <c r="N280" s="28"/>
      <c r="O280" s="28"/>
      <c r="P280" s="28"/>
      <c r="Q280" s="28"/>
      <c r="R280" s="28"/>
    </row>
    <row r="281" spans="1:18" s="2" customFormat="1" ht="12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74"/>
      <c r="L281" s="30"/>
      <c r="M281" s="30"/>
      <c r="N281" s="28"/>
      <c r="O281" s="28"/>
      <c r="P281" s="28"/>
      <c r="Q281" s="28"/>
      <c r="R281" s="28"/>
    </row>
    <row r="282" spans="1:18" s="2" customFormat="1" ht="12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74"/>
      <c r="L282" s="30"/>
      <c r="M282" s="30"/>
      <c r="N282" s="28"/>
      <c r="O282" s="28"/>
      <c r="P282" s="28"/>
      <c r="Q282" s="28"/>
      <c r="R282" s="28"/>
    </row>
    <row r="283" spans="1:18" s="2" customFormat="1" ht="12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74"/>
      <c r="L283" s="30"/>
      <c r="M283" s="30"/>
      <c r="N283" s="28"/>
      <c r="O283" s="28"/>
      <c r="P283" s="28"/>
      <c r="Q283" s="28"/>
      <c r="R283" s="28"/>
    </row>
    <row r="284" spans="1:18" s="2" customFormat="1" ht="12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74"/>
      <c r="L284" s="30"/>
      <c r="M284" s="30"/>
      <c r="N284" s="28"/>
      <c r="O284" s="28"/>
      <c r="P284" s="28"/>
      <c r="Q284" s="28"/>
      <c r="R284" s="28"/>
    </row>
    <row r="285" spans="1:18" s="2" customFormat="1" ht="12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74"/>
      <c r="L285" s="30"/>
      <c r="M285" s="30"/>
      <c r="N285" s="28"/>
      <c r="O285" s="28"/>
      <c r="P285" s="28"/>
      <c r="Q285" s="28"/>
      <c r="R285" s="28"/>
    </row>
    <row r="286" spans="1:18" s="2" customFormat="1" ht="12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75"/>
      <c r="L286" s="28"/>
      <c r="M286" s="28"/>
      <c r="N286" s="28"/>
      <c r="O286" s="28"/>
      <c r="P286" s="28"/>
      <c r="Q286" s="28"/>
      <c r="R286" s="28"/>
    </row>
    <row r="287" spans="1:18" s="2" customFormat="1" ht="12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75"/>
      <c r="L287" s="28"/>
      <c r="M287" s="28"/>
      <c r="N287" s="28"/>
      <c r="O287" s="28"/>
      <c r="P287" s="28"/>
      <c r="Q287" s="28"/>
      <c r="R287" s="28"/>
    </row>
    <row r="288" spans="1:1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L288" s="4"/>
      <c r="M288" s="4"/>
      <c r="N288" s="4"/>
      <c r="O288" s="4"/>
      <c r="P288" s="4"/>
      <c r="Q288" s="4"/>
      <c r="R288" s="4"/>
    </row>
    <row r="289" spans="1:8" ht="12.75" customHeight="1">
      <c r="A289" s="7"/>
      <c r="B289" s="7"/>
      <c r="C289" s="7"/>
      <c r="D289" s="7"/>
      <c r="E289" s="7"/>
      <c r="F289" s="7"/>
      <c r="G289" s="7"/>
      <c r="H289" s="7"/>
    </row>
    <row r="290" spans="1:8" ht="12.75" customHeight="1">
      <c r="A290" s="7"/>
      <c r="B290" s="7"/>
      <c r="C290" s="7"/>
      <c r="D290" s="7"/>
      <c r="E290" s="7"/>
      <c r="F290" s="7"/>
      <c r="G290" s="7"/>
      <c r="H290" s="7"/>
    </row>
    <row r="291" spans="1:8" ht="12.75" customHeight="1">
      <c r="A291" s="7"/>
      <c r="B291" s="7"/>
      <c r="C291" s="7"/>
      <c r="D291" s="7"/>
      <c r="E291" s="7"/>
      <c r="F291" s="7"/>
      <c r="G291" s="7"/>
      <c r="H291" s="7"/>
    </row>
    <row r="292" spans="1:8" ht="12.75" customHeight="1">
      <c r="A292" s="7"/>
      <c r="B292" s="7"/>
      <c r="C292" s="7"/>
      <c r="D292" s="7"/>
      <c r="E292" s="7"/>
      <c r="F292" s="7"/>
      <c r="G292" s="7"/>
      <c r="H292" s="7"/>
    </row>
    <row r="293" spans="1:8" ht="12.75" customHeight="1">
      <c r="A293" s="7"/>
      <c r="B293" s="7"/>
      <c r="C293" s="7"/>
      <c r="D293" s="7"/>
      <c r="E293" s="7"/>
      <c r="F293" s="7"/>
      <c r="G293" s="7"/>
      <c r="H293" s="7"/>
    </row>
  </sheetData>
  <sheetProtection formatCells="0" formatColumns="0" formatRows="0" insertColumns="0" insertRows="0" sort="0"/>
  <mergeCells count="14">
    <mergeCell ref="A163:D163"/>
    <mergeCell ref="L163:M163"/>
    <mergeCell ref="A1:M1"/>
    <mergeCell ref="A2:M2"/>
    <mergeCell ref="A3:E3"/>
    <mergeCell ref="G3:J3"/>
    <mergeCell ref="A4:E4"/>
    <mergeCell ref="G4:J4"/>
    <mergeCell ref="L4:M4"/>
    <mergeCell ref="A5:M5"/>
    <mergeCell ref="A159:D159"/>
    <mergeCell ref="L159:M159"/>
    <mergeCell ref="A161:D161"/>
    <mergeCell ref="L161:M161"/>
  </mergeCells>
  <pageMargins left="0.70866141732283472" right="0.70866141732283472" top="0.35433070866141736" bottom="0.35433070866141736" header="0.59055118110236227" footer="0.59055118110236227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1"/>
  <sheetViews>
    <sheetView showZeros="0" topLeftCell="A130" workbookViewId="0">
      <selection activeCell="E60" sqref="E60"/>
    </sheetView>
  </sheetViews>
  <sheetFormatPr defaultRowHeight="12.75"/>
  <cols>
    <col min="1" max="1" width="4.140625" style="5" customWidth="1"/>
    <col min="2" max="2" width="4.42578125" style="5" bestFit="1" customWidth="1"/>
    <col min="3" max="3" width="4.7109375" style="5" customWidth="1"/>
    <col min="4" max="4" width="12.7109375" style="5" customWidth="1"/>
    <col min="5" max="5" width="12" style="5" customWidth="1"/>
    <col min="6" max="6" width="14.140625" style="5" customWidth="1"/>
    <col min="7" max="7" width="10.7109375" style="5" customWidth="1"/>
    <col min="8" max="8" width="6.140625" style="5" customWidth="1"/>
    <col min="9" max="9" width="6.85546875" style="5" bestFit="1" customWidth="1"/>
    <col min="10" max="10" width="6.5703125" style="5" customWidth="1"/>
    <col min="11" max="11" width="11.28515625" style="24" customWidth="1"/>
    <col min="12" max="12" width="17.5703125" style="5" customWidth="1"/>
    <col min="13" max="13" width="20" style="5" customWidth="1"/>
    <col min="14" max="16384" width="9.140625" style="5"/>
  </cols>
  <sheetData>
    <row r="1" spans="1:20" s="26" customFormat="1" ht="33.75" customHeight="1">
      <c r="A1" s="259" t="s">
        <v>483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"/>
      <c r="O1" s="25"/>
      <c r="P1" s="25"/>
      <c r="Q1" s="25"/>
      <c r="R1" s="25"/>
      <c r="S1" s="25"/>
      <c r="T1" s="25"/>
    </row>
    <row r="2" spans="1:20">
      <c r="A2" s="260" t="s">
        <v>17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4"/>
      <c r="O2" s="4"/>
      <c r="P2" s="4"/>
      <c r="Q2" s="4"/>
      <c r="R2" s="4"/>
      <c r="S2" s="4"/>
      <c r="T2" s="4"/>
    </row>
    <row r="3" spans="1:20" ht="14.25" customHeight="1">
      <c r="A3" s="261" t="s">
        <v>58</v>
      </c>
      <c r="B3" s="261"/>
      <c r="C3" s="261"/>
      <c r="D3" s="261"/>
      <c r="E3" s="261"/>
      <c r="F3" s="8"/>
      <c r="G3" s="262" t="s">
        <v>37</v>
      </c>
      <c r="H3" s="262"/>
      <c r="I3" s="262"/>
      <c r="J3" s="262"/>
      <c r="K3" s="70"/>
      <c r="L3" s="22">
        <v>42455</v>
      </c>
      <c r="M3" s="22">
        <v>42456</v>
      </c>
      <c r="N3" s="4"/>
      <c r="O3" s="4"/>
      <c r="P3" s="4"/>
      <c r="Q3" s="4"/>
      <c r="R3" s="4"/>
      <c r="S3" s="4"/>
      <c r="T3" s="4"/>
    </row>
    <row r="4" spans="1:20" ht="14.25" customHeight="1">
      <c r="A4" s="263" t="s">
        <v>13</v>
      </c>
      <c r="B4" s="263"/>
      <c r="C4" s="263"/>
      <c r="D4" s="263"/>
      <c r="E4" s="263"/>
      <c r="F4" s="8"/>
      <c r="G4" s="264" t="s">
        <v>15</v>
      </c>
      <c r="H4" s="264"/>
      <c r="I4" s="264"/>
      <c r="J4" s="264"/>
      <c r="K4" s="70"/>
      <c r="L4" s="265" t="s">
        <v>16</v>
      </c>
      <c r="M4" s="265"/>
      <c r="N4" s="4"/>
      <c r="O4" s="4"/>
      <c r="P4" s="4"/>
      <c r="Q4" s="4"/>
      <c r="R4" s="4"/>
      <c r="S4" s="4"/>
      <c r="T4" s="4"/>
    </row>
    <row r="5" spans="1:20" ht="15.75">
      <c r="A5" s="266" t="s">
        <v>25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4"/>
      <c r="O5" s="4"/>
      <c r="P5" s="4"/>
      <c r="Q5" s="4"/>
      <c r="R5" s="4"/>
      <c r="S5" s="4"/>
      <c r="T5" s="4"/>
    </row>
    <row r="6" spans="1:20" ht="0.75" customHeight="1">
      <c r="A6" s="21"/>
      <c r="B6" s="21"/>
      <c r="C6" s="21"/>
      <c r="D6" s="53">
        <f>DCOUNTA(D7:D137,1,D7:D137)</f>
        <v>130</v>
      </c>
      <c r="E6" s="21"/>
      <c r="F6" s="21"/>
      <c r="G6" s="21"/>
      <c r="H6" s="21"/>
      <c r="I6" s="21"/>
      <c r="J6" s="21"/>
      <c r="K6" s="71"/>
      <c r="L6" s="21"/>
      <c r="M6" s="21"/>
      <c r="N6" s="4"/>
      <c r="O6" s="4"/>
      <c r="P6" s="4"/>
      <c r="Q6" s="4"/>
      <c r="R6" s="4"/>
      <c r="S6" s="4"/>
      <c r="T6" s="4"/>
    </row>
    <row r="7" spans="1:20" s="24" customFormat="1" ht="25.5" customHeight="1" thickBot="1">
      <c r="A7" s="27" t="s">
        <v>32</v>
      </c>
      <c r="B7" s="27" t="s">
        <v>14</v>
      </c>
      <c r="C7" s="27" t="s">
        <v>9</v>
      </c>
      <c r="D7" s="27" t="s">
        <v>10</v>
      </c>
      <c r="E7" s="27" t="s">
        <v>11</v>
      </c>
      <c r="F7" s="27" t="s">
        <v>12</v>
      </c>
      <c r="G7" s="27" t="s">
        <v>19</v>
      </c>
      <c r="H7" s="52" t="s">
        <v>20</v>
      </c>
      <c r="I7" s="27" t="s">
        <v>21</v>
      </c>
      <c r="J7" s="27" t="s">
        <v>18</v>
      </c>
      <c r="K7" s="27" t="s">
        <v>22</v>
      </c>
      <c r="L7" s="27" t="s">
        <v>23</v>
      </c>
      <c r="M7" s="27" t="s">
        <v>24</v>
      </c>
    </row>
    <row r="8" spans="1:20" s="80" customFormat="1" ht="15" customHeight="1" thickBot="1">
      <c r="A8" s="133"/>
      <c r="B8" s="133">
        <v>1</v>
      </c>
      <c r="C8" s="128" t="s">
        <v>38</v>
      </c>
      <c r="D8" s="129" t="s">
        <v>193</v>
      </c>
      <c r="E8" s="128" t="s">
        <v>61</v>
      </c>
      <c r="F8" s="128" t="s">
        <v>194</v>
      </c>
      <c r="G8" s="130">
        <v>38057</v>
      </c>
      <c r="H8" s="128">
        <v>12</v>
      </c>
      <c r="I8" s="128">
        <v>9</v>
      </c>
      <c r="J8" s="128">
        <v>48</v>
      </c>
      <c r="K8" s="128" t="s">
        <v>58</v>
      </c>
      <c r="L8" s="131" t="s">
        <v>276</v>
      </c>
      <c r="M8" s="128" t="s">
        <v>192</v>
      </c>
      <c r="N8" s="79"/>
      <c r="O8" s="79"/>
      <c r="P8" s="79"/>
      <c r="Q8" s="79"/>
      <c r="R8" s="79"/>
      <c r="S8" s="79"/>
      <c r="T8" s="79"/>
    </row>
    <row r="9" spans="1:20" s="80" customFormat="1" ht="15" customHeight="1" thickBot="1">
      <c r="A9" s="133"/>
      <c r="B9" s="133">
        <v>2</v>
      </c>
      <c r="C9" s="132" t="s">
        <v>38</v>
      </c>
      <c r="D9" s="133" t="s">
        <v>197</v>
      </c>
      <c r="E9" s="132" t="s">
        <v>125</v>
      </c>
      <c r="F9" s="132" t="s">
        <v>91</v>
      </c>
      <c r="G9" s="134">
        <v>37978</v>
      </c>
      <c r="H9" s="132">
        <v>12</v>
      </c>
      <c r="I9" s="132">
        <v>9</v>
      </c>
      <c r="J9" s="132">
        <v>40</v>
      </c>
      <c r="K9" s="132" t="s">
        <v>58</v>
      </c>
      <c r="L9" s="131" t="s">
        <v>276</v>
      </c>
      <c r="M9" s="132" t="s">
        <v>192</v>
      </c>
      <c r="N9" s="79"/>
      <c r="O9" s="79"/>
      <c r="P9" s="79"/>
      <c r="Q9" s="79"/>
      <c r="R9" s="79"/>
      <c r="S9" s="79"/>
      <c r="T9" s="79"/>
    </row>
    <row r="10" spans="1:20" s="80" customFormat="1" ht="15" customHeight="1" thickBot="1">
      <c r="A10" s="133"/>
      <c r="B10" s="133">
        <v>3</v>
      </c>
      <c r="C10" s="132" t="s">
        <v>38</v>
      </c>
      <c r="D10" s="133" t="s">
        <v>208</v>
      </c>
      <c r="E10" s="132" t="s">
        <v>61</v>
      </c>
      <c r="F10" s="132" t="s">
        <v>285</v>
      </c>
      <c r="G10" s="134">
        <v>37819</v>
      </c>
      <c r="H10" s="132">
        <v>12</v>
      </c>
      <c r="I10" s="132">
        <v>6</v>
      </c>
      <c r="J10" s="132">
        <v>41</v>
      </c>
      <c r="K10" s="132" t="s">
        <v>58</v>
      </c>
      <c r="L10" s="131" t="s">
        <v>276</v>
      </c>
      <c r="M10" s="132" t="s">
        <v>201</v>
      </c>
      <c r="N10" s="79"/>
      <c r="O10" s="79"/>
      <c r="P10" s="79"/>
      <c r="Q10" s="79"/>
      <c r="R10" s="79"/>
      <c r="S10" s="79"/>
      <c r="T10" s="79"/>
    </row>
    <row r="11" spans="1:20" s="80" customFormat="1" ht="15" customHeight="1" thickBot="1">
      <c r="A11" s="133"/>
      <c r="B11" s="133">
        <v>4</v>
      </c>
      <c r="C11" s="132" t="s">
        <v>38</v>
      </c>
      <c r="D11" s="133" t="s">
        <v>211</v>
      </c>
      <c r="E11" s="132" t="s">
        <v>212</v>
      </c>
      <c r="F11" s="132" t="s">
        <v>484</v>
      </c>
      <c r="G11" s="134">
        <v>37957</v>
      </c>
      <c r="H11" s="132">
        <v>12</v>
      </c>
      <c r="I11" s="132">
        <v>6</v>
      </c>
      <c r="J11" s="132">
        <v>44</v>
      </c>
      <c r="K11" s="132" t="s">
        <v>58</v>
      </c>
      <c r="L11" s="131" t="s">
        <v>276</v>
      </c>
      <c r="M11" s="132" t="s">
        <v>201</v>
      </c>
      <c r="N11" s="79"/>
      <c r="O11" s="79"/>
      <c r="P11" s="79"/>
      <c r="Q11" s="79"/>
      <c r="R11" s="79"/>
      <c r="S11" s="79"/>
      <c r="T11" s="79"/>
    </row>
    <row r="12" spans="1:20" s="80" customFormat="1" ht="15" customHeight="1" thickBot="1">
      <c r="A12" s="133"/>
      <c r="B12" s="133">
        <v>5</v>
      </c>
      <c r="C12" s="132" t="s">
        <v>38</v>
      </c>
      <c r="D12" s="133" t="s">
        <v>207</v>
      </c>
      <c r="E12" s="132" t="s">
        <v>50</v>
      </c>
      <c r="F12" s="132" t="s">
        <v>82</v>
      </c>
      <c r="G12" s="134">
        <v>38062</v>
      </c>
      <c r="H12" s="132">
        <v>12</v>
      </c>
      <c r="I12" s="132">
        <v>7</v>
      </c>
      <c r="J12" s="132">
        <v>36</v>
      </c>
      <c r="K12" s="132" t="s">
        <v>58</v>
      </c>
      <c r="L12" s="131" t="s">
        <v>276</v>
      </c>
      <c r="M12" s="132" t="s">
        <v>201</v>
      </c>
      <c r="N12" s="79"/>
      <c r="O12" s="79"/>
      <c r="P12" s="79"/>
      <c r="Q12" s="79"/>
      <c r="R12" s="79"/>
      <c r="S12" s="79"/>
      <c r="T12" s="79"/>
    </row>
    <row r="13" spans="1:20" s="80" customFormat="1" ht="15" customHeight="1" thickBot="1">
      <c r="A13" s="133"/>
      <c r="B13" s="133">
        <v>6</v>
      </c>
      <c r="C13" s="132" t="s">
        <v>38</v>
      </c>
      <c r="D13" s="133" t="s">
        <v>485</v>
      </c>
      <c r="E13" s="132" t="s">
        <v>62</v>
      </c>
      <c r="F13" s="132" t="s">
        <v>486</v>
      </c>
      <c r="G13" s="134">
        <v>37761</v>
      </c>
      <c r="H13" s="132">
        <v>12</v>
      </c>
      <c r="I13" s="132">
        <v>6</v>
      </c>
      <c r="J13" s="132">
        <v>45</v>
      </c>
      <c r="K13" s="132" t="s">
        <v>58</v>
      </c>
      <c r="L13" s="131" t="s">
        <v>276</v>
      </c>
      <c r="M13" s="132" t="s">
        <v>204</v>
      </c>
      <c r="N13" s="79"/>
      <c r="O13" s="79"/>
      <c r="P13" s="79"/>
      <c r="Q13" s="79"/>
      <c r="R13" s="79"/>
      <c r="S13" s="79"/>
      <c r="T13" s="79"/>
    </row>
    <row r="14" spans="1:20" s="80" customFormat="1" ht="15" customHeight="1" thickBot="1">
      <c r="A14" s="133"/>
      <c r="B14" s="133">
        <v>7</v>
      </c>
      <c r="C14" s="132" t="s">
        <v>38</v>
      </c>
      <c r="D14" s="133" t="s">
        <v>214</v>
      </c>
      <c r="E14" s="132" t="s">
        <v>50</v>
      </c>
      <c r="F14" s="132" t="s">
        <v>487</v>
      </c>
      <c r="G14" s="134">
        <v>37785</v>
      </c>
      <c r="H14" s="132">
        <v>12</v>
      </c>
      <c r="I14" s="132">
        <v>6</v>
      </c>
      <c r="J14" s="132">
        <v>40</v>
      </c>
      <c r="K14" s="132" t="s">
        <v>58</v>
      </c>
      <c r="L14" s="131" t="s">
        <v>276</v>
      </c>
      <c r="M14" s="132" t="s">
        <v>204</v>
      </c>
      <c r="N14" s="79"/>
      <c r="O14" s="79"/>
      <c r="P14" s="79"/>
      <c r="Q14" s="79"/>
      <c r="R14" s="79"/>
      <c r="S14" s="79"/>
      <c r="T14" s="79"/>
    </row>
    <row r="15" spans="1:20" s="80" customFormat="1" ht="15" customHeight="1" thickBot="1">
      <c r="A15" s="133"/>
      <c r="B15" s="133">
        <v>8</v>
      </c>
      <c r="C15" s="132" t="s">
        <v>38</v>
      </c>
      <c r="D15" s="133" t="s">
        <v>215</v>
      </c>
      <c r="E15" s="132" t="s">
        <v>40</v>
      </c>
      <c r="F15" s="132" t="s">
        <v>488</v>
      </c>
      <c r="G15" s="134">
        <v>37762</v>
      </c>
      <c r="H15" s="132">
        <v>12</v>
      </c>
      <c r="I15" s="132">
        <v>9</v>
      </c>
      <c r="J15" s="132">
        <v>65</v>
      </c>
      <c r="K15" s="132" t="s">
        <v>58</v>
      </c>
      <c r="L15" s="131" t="s">
        <v>276</v>
      </c>
      <c r="M15" s="132" t="s">
        <v>201</v>
      </c>
      <c r="N15" s="79"/>
      <c r="O15" s="79"/>
      <c r="P15" s="79"/>
      <c r="Q15" s="79"/>
      <c r="R15" s="79"/>
      <c r="S15" s="79"/>
      <c r="T15" s="79"/>
    </row>
    <row r="16" spans="1:20" s="80" customFormat="1" ht="15" customHeight="1" thickBot="1">
      <c r="A16" s="133"/>
      <c r="B16" s="133">
        <v>9</v>
      </c>
      <c r="C16" s="132" t="s">
        <v>38</v>
      </c>
      <c r="D16" s="133" t="s">
        <v>213</v>
      </c>
      <c r="E16" s="132" t="s">
        <v>66</v>
      </c>
      <c r="F16" s="132" t="s">
        <v>152</v>
      </c>
      <c r="G16" s="134">
        <v>37853</v>
      </c>
      <c r="H16" s="132">
        <v>12</v>
      </c>
      <c r="I16" s="132">
        <v>6</v>
      </c>
      <c r="J16" s="132">
        <v>47</v>
      </c>
      <c r="K16" s="132" t="s">
        <v>58</v>
      </c>
      <c r="L16" s="131" t="s">
        <v>276</v>
      </c>
      <c r="M16" s="132" t="s">
        <v>204</v>
      </c>
      <c r="N16" s="79"/>
      <c r="O16" s="79"/>
      <c r="P16" s="79"/>
      <c r="Q16" s="79"/>
      <c r="R16" s="79"/>
      <c r="S16" s="79"/>
      <c r="T16" s="79"/>
    </row>
    <row r="17" spans="1:20" s="136" customFormat="1" ht="15" customHeight="1" thickBot="1">
      <c r="A17" s="133"/>
      <c r="B17" s="133">
        <v>10</v>
      </c>
      <c r="C17" s="132" t="s">
        <v>46</v>
      </c>
      <c r="D17" s="133" t="s">
        <v>223</v>
      </c>
      <c r="E17" s="132" t="s">
        <v>224</v>
      </c>
      <c r="F17" s="132" t="s">
        <v>116</v>
      </c>
      <c r="G17" s="134">
        <v>37821</v>
      </c>
      <c r="H17" s="132">
        <v>12</v>
      </c>
      <c r="I17" s="132">
        <v>6</v>
      </c>
      <c r="J17" s="132">
        <v>40</v>
      </c>
      <c r="K17" s="132" t="s">
        <v>58</v>
      </c>
      <c r="L17" s="131" t="s">
        <v>276</v>
      </c>
      <c r="M17" s="132" t="s">
        <v>204</v>
      </c>
      <c r="N17" s="135"/>
      <c r="O17" s="135"/>
      <c r="P17" s="135"/>
      <c r="Q17" s="135"/>
      <c r="R17" s="135"/>
      <c r="S17" s="135"/>
      <c r="T17" s="135"/>
    </row>
    <row r="18" spans="1:20" s="136" customFormat="1" ht="15" customHeight="1" thickBot="1">
      <c r="A18" s="133"/>
      <c r="B18" s="133">
        <v>11</v>
      </c>
      <c r="C18" s="132" t="s">
        <v>46</v>
      </c>
      <c r="D18" s="133" t="s">
        <v>489</v>
      </c>
      <c r="E18" s="132" t="s">
        <v>132</v>
      </c>
      <c r="F18" s="132" t="s">
        <v>96</v>
      </c>
      <c r="G18" s="134">
        <v>37805</v>
      </c>
      <c r="H18" s="132">
        <v>12</v>
      </c>
      <c r="I18" s="132">
        <v>9</v>
      </c>
      <c r="J18" s="132">
        <v>43</v>
      </c>
      <c r="K18" s="132" t="s">
        <v>58</v>
      </c>
      <c r="L18" s="131" t="s">
        <v>276</v>
      </c>
      <c r="M18" s="132" t="s">
        <v>201</v>
      </c>
      <c r="N18" s="135"/>
      <c r="O18" s="135"/>
      <c r="P18" s="135"/>
      <c r="Q18" s="135"/>
      <c r="R18" s="135"/>
      <c r="S18" s="135"/>
      <c r="T18" s="135"/>
    </row>
    <row r="19" spans="1:20" s="80" customFormat="1" ht="15" customHeight="1" thickBot="1">
      <c r="A19" s="133"/>
      <c r="B19" s="133">
        <v>12</v>
      </c>
      <c r="C19" s="132" t="s">
        <v>46</v>
      </c>
      <c r="D19" s="133" t="s">
        <v>225</v>
      </c>
      <c r="E19" s="132" t="s">
        <v>226</v>
      </c>
      <c r="F19" s="132" t="s">
        <v>490</v>
      </c>
      <c r="G19" s="134">
        <v>37720</v>
      </c>
      <c r="H19" s="132">
        <v>12</v>
      </c>
      <c r="I19" s="132">
        <v>6</v>
      </c>
      <c r="J19" s="132">
        <v>45</v>
      </c>
      <c r="K19" s="132" t="s">
        <v>58</v>
      </c>
      <c r="L19" s="131" t="s">
        <v>276</v>
      </c>
      <c r="M19" s="132" t="s">
        <v>204</v>
      </c>
      <c r="N19" s="79"/>
      <c r="O19" s="79"/>
      <c r="P19" s="79"/>
      <c r="Q19" s="79"/>
      <c r="R19" s="79"/>
      <c r="S19" s="79"/>
      <c r="T19" s="79"/>
    </row>
    <row r="20" spans="1:20" s="80" customFormat="1" ht="15" customHeight="1" thickBot="1">
      <c r="A20" s="133"/>
      <c r="B20" s="133">
        <v>13</v>
      </c>
      <c r="C20" s="132" t="s">
        <v>38</v>
      </c>
      <c r="D20" s="133" t="s">
        <v>209</v>
      </c>
      <c r="E20" s="132" t="s">
        <v>210</v>
      </c>
      <c r="F20" s="132" t="s">
        <v>152</v>
      </c>
      <c r="G20" s="134">
        <v>37646</v>
      </c>
      <c r="H20" s="132">
        <v>13</v>
      </c>
      <c r="I20" s="132">
        <v>6</v>
      </c>
      <c r="J20" s="132">
        <v>50</v>
      </c>
      <c r="K20" s="132" t="s">
        <v>58</v>
      </c>
      <c r="L20" s="131" t="s">
        <v>276</v>
      </c>
      <c r="M20" s="132" t="s">
        <v>201</v>
      </c>
      <c r="N20" s="79"/>
      <c r="O20" s="79"/>
      <c r="P20" s="79"/>
      <c r="Q20" s="79"/>
      <c r="R20" s="79"/>
      <c r="S20" s="79"/>
      <c r="T20" s="79"/>
    </row>
    <row r="21" spans="1:20" s="80" customFormat="1" ht="15" customHeight="1" thickBot="1">
      <c r="A21" s="133"/>
      <c r="B21" s="133">
        <v>14</v>
      </c>
      <c r="C21" s="132" t="s">
        <v>38</v>
      </c>
      <c r="D21" s="133" t="s">
        <v>216</v>
      </c>
      <c r="E21" s="132" t="s">
        <v>90</v>
      </c>
      <c r="F21" s="132" t="s">
        <v>67</v>
      </c>
      <c r="G21" s="134">
        <v>37383</v>
      </c>
      <c r="H21" s="132">
        <v>13</v>
      </c>
      <c r="I21" s="132">
        <v>7</v>
      </c>
      <c r="J21" s="132">
        <v>67</v>
      </c>
      <c r="K21" s="132" t="s">
        <v>58</v>
      </c>
      <c r="L21" s="131" t="s">
        <v>276</v>
      </c>
      <c r="M21" s="132" t="s">
        <v>201</v>
      </c>
      <c r="N21" s="79"/>
      <c r="O21" s="79"/>
      <c r="P21" s="79"/>
      <c r="Q21" s="79"/>
      <c r="R21" s="79"/>
      <c r="S21" s="79"/>
      <c r="T21" s="79"/>
    </row>
    <row r="22" spans="1:20" s="80" customFormat="1" ht="15" customHeight="1" thickBot="1">
      <c r="A22" s="133"/>
      <c r="B22" s="133">
        <v>15</v>
      </c>
      <c r="C22" s="132" t="s">
        <v>38</v>
      </c>
      <c r="D22" s="133" t="s">
        <v>196</v>
      </c>
      <c r="E22" s="132" t="s">
        <v>93</v>
      </c>
      <c r="F22" s="132" t="s">
        <v>113</v>
      </c>
      <c r="G22" s="134">
        <v>37545</v>
      </c>
      <c r="H22" s="132">
        <v>13</v>
      </c>
      <c r="I22" s="132">
        <v>8</v>
      </c>
      <c r="J22" s="132">
        <v>42</v>
      </c>
      <c r="K22" s="132" t="s">
        <v>58</v>
      </c>
      <c r="L22" s="131" t="s">
        <v>276</v>
      </c>
      <c r="M22" s="132" t="s">
        <v>192</v>
      </c>
      <c r="N22" s="79"/>
      <c r="O22" s="79"/>
      <c r="P22" s="79"/>
      <c r="Q22" s="79"/>
      <c r="R22" s="79"/>
      <c r="S22" s="79"/>
      <c r="T22" s="79"/>
    </row>
    <row r="23" spans="1:20" s="80" customFormat="1" ht="15" customHeight="1" thickBot="1">
      <c r="A23" s="133"/>
      <c r="B23" s="133">
        <v>16</v>
      </c>
      <c r="C23" s="132" t="s">
        <v>38</v>
      </c>
      <c r="D23" s="133" t="s">
        <v>193</v>
      </c>
      <c r="E23" s="132" t="s">
        <v>43</v>
      </c>
      <c r="F23" s="132" t="s">
        <v>67</v>
      </c>
      <c r="G23" s="134">
        <v>37357</v>
      </c>
      <c r="H23" s="132">
        <v>13</v>
      </c>
      <c r="I23" s="132">
        <v>8</v>
      </c>
      <c r="J23" s="132">
        <v>47</v>
      </c>
      <c r="K23" s="132" t="s">
        <v>58</v>
      </c>
      <c r="L23" s="131" t="s">
        <v>276</v>
      </c>
      <c r="M23" s="132" t="s">
        <v>192</v>
      </c>
      <c r="N23" s="79"/>
      <c r="O23" s="79"/>
      <c r="P23" s="79"/>
      <c r="Q23" s="79"/>
      <c r="R23" s="79"/>
      <c r="S23" s="79"/>
      <c r="T23" s="79"/>
    </row>
    <row r="24" spans="1:20" s="80" customFormat="1" ht="15" customHeight="1" thickBot="1">
      <c r="A24" s="133"/>
      <c r="B24" s="133">
        <v>17</v>
      </c>
      <c r="C24" s="132" t="s">
        <v>38</v>
      </c>
      <c r="D24" s="133" t="s">
        <v>187</v>
      </c>
      <c r="E24" s="132" t="s">
        <v>39</v>
      </c>
      <c r="F24" s="132" t="s">
        <v>141</v>
      </c>
      <c r="G24" s="134">
        <v>37186</v>
      </c>
      <c r="H24" s="132">
        <v>14</v>
      </c>
      <c r="I24" s="132">
        <v>8</v>
      </c>
      <c r="J24" s="132">
        <v>68</v>
      </c>
      <c r="K24" s="132" t="s">
        <v>58</v>
      </c>
      <c r="L24" s="131" t="s">
        <v>276</v>
      </c>
      <c r="M24" s="132" t="s">
        <v>201</v>
      </c>
      <c r="N24" s="79"/>
      <c r="O24" s="79"/>
      <c r="P24" s="79"/>
      <c r="Q24" s="79"/>
      <c r="R24" s="79"/>
      <c r="S24" s="79"/>
      <c r="T24" s="79"/>
    </row>
    <row r="25" spans="1:20" s="80" customFormat="1" ht="15" customHeight="1" thickBot="1">
      <c r="A25" s="133"/>
      <c r="B25" s="133">
        <v>18</v>
      </c>
      <c r="C25" s="132" t="s">
        <v>38</v>
      </c>
      <c r="D25" s="133" t="s">
        <v>491</v>
      </c>
      <c r="E25" s="132" t="s">
        <v>125</v>
      </c>
      <c r="F25" s="132" t="s">
        <v>79</v>
      </c>
      <c r="G25" s="134">
        <v>37039</v>
      </c>
      <c r="H25" s="132">
        <v>14</v>
      </c>
      <c r="I25" s="132">
        <v>6</v>
      </c>
      <c r="J25" s="132">
        <v>80</v>
      </c>
      <c r="K25" s="132" t="s">
        <v>58</v>
      </c>
      <c r="L25" s="131" t="s">
        <v>276</v>
      </c>
      <c r="M25" s="132" t="s">
        <v>203</v>
      </c>
      <c r="N25" s="79"/>
      <c r="O25" s="79"/>
      <c r="P25" s="79"/>
      <c r="Q25" s="79"/>
      <c r="R25" s="79"/>
      <c r="S25" s="79"/>
      <c r="T25" s="79"/>
    </row>
    <row r="26" spans="1:20" s="80" customFormat="1" ht="15" customHeight="1" thickBot="1">
      <c r="A26" s="133"/>
      <c r="B26" s="133">
        <v>19</v>
      </c>
      <c r="C26" s="132" t="s">
        <v>38</v>
      </c>
      <c r="D26" s="133" t="s">
        <v>217</v>
      </c>
      <c r="E26" s="132" t="s">
        <v>66</v>
      </c>
      <c r="F26" s="132" t="s">
        <v>74</v>
      </c>
      <c r="G26" s="134">
        <v>37188</v>
      </c>
      <c r="H26" s="132">
        <v>14</v>
      </c>
      <c r="I26" s="132">
        <v>6</v>
      </c>
      <c r="J26" s="132">
        <v>54</v>
      </c>
      <c r="K26" s="132" t="s">
        <v>58</v>
      </c>
      <c r="L26" s="131" t="s">
        <v>276</v>
      </c>
      <c r="M26" s="132" t="s">
        <v>201</v>
      </c>
      <c r="N26" s="79"/>
      <c r="O26" s="79"/>
      <c r="P26" s="79"/>
      <c r="Q26" s="79"/>
      <c r="R26" s="79"/>
      <c r="S26" s="79"/>
      <c r="T26" s="79"/>
    </row>
    <row r="27" spans="1:20" s="136" customFormat="1" ht="15" customHeight="1" thickBot="1">
      <c r="A27" s="133"/>
      <c r="B27" s="133">
        <v>20</v>
      </c>
      <c r="C27" s="132" t="s">
        <v>38</v>
      </c>
      <c r="D27" s="133" t="s">
        <v>218</v>
      </c>
      <c r="E27" s="132" t="s">
        <v>212</v>
      </c>
      <c r="F27" s="132" t="s">
        <v>492</v>
      </c>
      <c r="G27" s="134">
        <v>36749</v>
      </c>
      <c r="H27" s="132">
        <v>15</v>
      </c>
      <c r="I27" s="132">
        <v>5</v>
      </c>
      <c r="J27" s="132">
        <v>85</v>
      </c>
      <c r="K27" s="132" t="s">
        <v>58</v>
      </c>
      <c r="L27" s="131" t="s">
        <v>276</v>
      </c>
      <c r="M27" s="132" t="s">
        <v>204</v>
      </c>
      <c r="N27" s="135"/>
      <c r="O27" s="135"/>
      <c r="P27" s="135"/>
      <c r="Q27" s="135"/>
      <c r="R27" s="135"/>
      <c r="S27" s="135"/>
      <c r="T27" s="135"/>
    </row>
    <row r="28" spans="1:20" s="80" customFormat="1" ht="15" customHeight="1" thickBot="1">
      <c r="A28" s="133"/>
      <c r="B28" s="133">
        <v>21</v>
      </c>
      <c r="C28" s="132" t="s">
        <v>38</v>
      </c>
      <c r="D28" s="133" t="s">
        <v>219</v>
      </c>
      <c r="E28" s="132" t="s">
        <v>48</v>
      </c>
      <c r="F28" s="132" t="s">
        <v>54</v>
      </c>
      <c r="G28" s="134">
        <v>36709</v>
      </c>
      <c r="H28" s="132">
        <v>15</v>
      </c>
      <c r="I28" s="132">
        <v>5</v>
      </c>
      <c r="J28" s="132">
        <v>74</v>
      </c>
      <c r="K28" s="132" t="s">
        <v>58</v>
      </c>
      <c r="L28" s="131" t="s">
        <v>276</v>
      </c>
      <c r="M28" s="132" t="s">
        <v>204</v>
      </c>
      <c r="N28" s="79"/>
      <c r="O28" s="79"/>
      <c r="P28" s="79"/>
      <c r="Q28" s="79"/>
      <c r="R28" s="79"/>
      <c r="S28" s="79"/>
      <c r="T28" s="79"/>
    </row>
    <row r="29" spans="1:20" s="80" customFormat="1" ht="15" customHeight="1" thickBot="1">
      <c r="A29" s="133"/>
      <c r="B29" s="133">
        <v>22</v>
      </c>
      <c r="C29" s="132" t="s">
        <v>38</v>
      </c>
      <c r="D29" s="133" t="s">
        <v>493</v>
      </c>
      <c r="E29" s="132" t="s">
        <v>183</v>
      </c>
      <c r="F29" s="132" t="s">
        <v>74</v>
      </c>
      <c r="G29" s="134">
        <v>36261</v>
      </c>
      <c r="H29" s="132">
        <v>16</v>
      </c>
      <c r="I29" s="132">
        <v>5</v>
      </c>
      <c r="J29" s="132">
        <v>59</v>
      </c>
      <c r="K29" s="132" t="s">
        <v>58</v>
      </c>
      <c r="L29" s="131" t="s">
        <v>276</v>
      </c>
      <c r="M29" s="132" t="s">
        <v>204</v>
      </c>
      <c r="N29" s="79"/>
      <c r="O29" s="79"/>
      <c r="P29" s="79"/>
      <c r="Q29" s="79"/>
      <c r="R29" s="79"/>
      <c r="S29" s="79"/>
      <c r="T29" s="79"/>
    </row>
    <row r="30" spans="1:20" s="80" customFormat="1" ht="15" customHeight="1" thickBot="1">
      <c r="A30" s="133"/>
      <c r="B30" s="133">
        <v>23</v>
      </c>
      <c r="C30" s="132" t="s">
        <v>38</v>
      </c>
      <c r="D30" s="133" t="s">
        <v>59</v>
      </c>
      <c r="E30" s="132" t="s">
        <v>183</v>
      </c>
      <c r="F30" s="132" t="s">
        <v>181</v>
      </c>
      <c r="G30" s="134">
        <v>37187</v>
      </c>
      <c r="H30" s="132">
        <v>14</v>
      </c>
      <c r="I30" s="132">
        <v>6</v>
      </c>
      <c r="J30" s="132">
        <v>47</v>
      </c>
      <c r="K30" s="132" t="s">
        <v>58</v>
      </c>
      <c r="L30" s="131" t="s">
        <v>276</v>
      </c>
      <c r="M30" s="132" t="s">
        <v>192</v>
      </c>
      <c r="N30" s="79"/>
      <c r="O30" s="79"/>
      <c r="P30" s="79"/>
      <c r="Q30" s="79"/>
      <c r="R30" s="79"/>
      <c r="S30" s="79"/>
      <c r="T30" s="79"/>
    </row>
    <row r="31" spans="1:20" s="80" customFormat="1" ht="15" customHeight="1" thickBot="1">
      <c r="A31" s="133"/>
      <c r="B31" s="133">
        <v>24</v>
      </c>
      <c r="C31" s="132" t="s">
        <v>38</v>
      </c>
      <c r="D31" s="133" t="s">
        <v>128</v>
      </c>
      <c r="E31" s="132" t="s">
        <v>41</v>
      </c>
      <c r="F31" s="132" t="s">
        <v>63</v>
      </c>
      <c r="G31" s="134">
        <v>37834</v>
      </c>
      <c r="H31" s="132">
        <v>12</v>
      </c>
      <c r="I31" s="132">
        <v>8</v>
      </c>
      <c r="J31" s="132">
        <v>37</v>
      </c>
      <c r="K31" s="132" t="s">
        <v>58</v>
      </c>
      <c r="L31" s="131" t="s">
        <v>276</v>
      </c>
      <c r="M31" s="132" t="s">
        <v>129</v>
      </c>
      <c r="N31" s="79"/>
      <c r="O31" s="79"/>
      <c r="P31" s="79"/>
      <c r="Q31" s="79"/>
      <c r="R31" s="79"/>
      <c r="S31" s="79"/>
      <c r="T31" s="79"/>
    </row>
    <row r="32" spans="1:20" s="80" customFormat="1" ht="15" customHeight="1" thickBot="1">
      <c r="A32" s="133"/>
      <c r="B32" s="133">
        <v>25</v>
      </c>
      <c r="C32" s="132" t="s">
        <v>38</v>
      </c>
      <c r="D32" s="133" t="s">
        <v>130</v>
      </c>
      <c r="E32" s="132" t="s">
        <v>49</v>
      </c>
      <c r="F32" s="132" t="s">
        <v>67</v>
      </c>
      <c r="G32" s="134">
        <v>37331</v>
      </c>
      <c r="H32" s="132">
        <v>13</v>
      </c>
      <c r="I32" s="132">
        <v>8</v>
      </c>
      <c r="J32" s="132">
        <v>35</v>
      </c>
      <c r="K32" s="132" t="s">
        <v>58</v>
      </c>
      <c r="L32" s="131" t="s">
        <v>276</v>
      </c>
      <c r="M32" s="132" t="s">
        <v>129</v>
      </c>
      <c r="N32" s="79"/>
      <c r="O32" s="79"/>
      <c r="P32" s="79"/>
      <c r="Q32" s="79"/>
      <c r="R32" s="79"/>
      <c r="S32" s="79"/>
      <c r="T32" s="79"/>
    </row>
    <row r="33" spans="1:20" s="80" customFormat="1" ht="15" customHeight="1" thickBot="1">
      <c r="A33" s="133"/>
      <c r="B33" s="133">
        <v>26</v>
      </c>
      <c r="C33" s="132" t="s">
        <v>38</v>
      </c>
      <c r="D33" s="133" t="s">
        <v>494</v>
      </c>
      <c r="E33" s="132" t="s">
        <v>40</v>
      </c>
      <c r="F33" s="132" t="s">
        <v>54</v>
      </c>
      <c r="G33" s="134">
        <v>37501</v>
      </c>
      <c r="H33" s="132">
        <v>13</v>
      </c>
      <c r="I33" s="132">
        <v>10</v>
      </c>
      <c r="J33" s="132">
        <v>49</v>
      </c>
      <c r="K33" s="132" t="s">
        <v>58</v>
      </c>
      <c r="L33" s="131" t="s">
        <v>276</v>
      </c>
      <c r="M33" s="132" t="s">
        <v>199</v>
      </c>
      <c r="N33" s="79"/>
      <c r="O33" s="79"/>
      <c r="P33" s="79"/>
      <c r="Q33" s="79"/>
      <c r="R33" s="79"/>
      <c r="S33" s="79"/>
      <c r="T33" s="79"/>
    </row>
    <row r="34" spans="1:20" s="80" customFormat="1" ht="15" customHeight="1" thickBot="1">
      <c r="A34" s="133"/>
      <c r="B34" s="133">
        <v>27</v>
      </c>
      <c r="C34" s="132" t="s">
        <v>38</v>
      </c>
      <c r="D34" s="133" t="s">
        <v>198</v>
      </c>
      <c r="E34" s="132" t="s">
        <v>171</v>
      </c>
      <c r="F34" s="132" t="s">
        <v>152</v>
      </c>
      <c r="G34" s="134">
        <v>36713</v>
      </c>
      <c r="H34" s="132">
        <v>15</v>
      </c>
      <c r="I34" s="132">
        <v>3</v>
      </c>
      <c r="J34" s="132">
        <v>58</v>
      </c>
      <c r="K34" s="132" t="s">
        <v>58</v>
      </c>
      <c r="L34" s="131" t="s">
        <v>276</v>
      </c>
      <c r="M34" s="132" t="s">
        <v>199</v>
      </c>
      <c r="N34" s="79"/>
      <c r="O34" s="79"/>
      <c r="P34" s="79"/>
      <c r="Q34" s="79"/>
      <c r="R34" s="79"/>
      <c r="S34" s="79"/>
      <c r="T34" s="79"/>
    </row>
    <row r="35" spans="1:20" s="80" customFormat="1" ht="15" customHeight="1" thickBot="1">
      <c r="A35" s="133"/>
      <c r="B35" s="133">
        <v>28</v>
      </c>
      <c r="C35" s="132" t="s">
        <v>38</v>
      </c>
      <c r="D35" s="133" t="s">
        <v>495</v>
      </c>
      <c r="E35" s="132" t="s">
        <v>40</v>
      </c>
      <c r="F35" s="132" t="s">
        <v>152</v>
      </c>
      <c r="G35" s="134">
        <v>36400</v>
      </c>
      <c r="H35" s="132">
        <v>16</v>
      </c>
      <c r="I35" s="132">
        <v>8</v>
      </c>
      <c r="J35" s="132">
        <v>75</v>
      </c>
      <c r="K35" s="132" t="s">
        <v>58</v>
      </c>
      <c r="L35" s="131" t="s">
        <v>276</v>
      </c>
      <c r="M35" s="132" t="s">
        <v>199</v>
      </c>
      <c r="N35" s="79"/>
      <c r="O35" s="79"/>
      <c r="P35" s="79"/>
      <c r="Q35" s="79"/>
      <c r="R35" s="79"/>
      <c r="S35" s="79"/>
      <c r="T35" s="79"/>
    </row>
    <row r="36" spans="1:20" s="80" customFormat="1" ht="15" customHeight="1" thickBot="1">
      <c r="A36" s="133"/>
      <c r="B36" s="133">
        <v>29</v>
      </c>
      <c r="C36" s="132" t="s">
        <v>38</v>
      </c>
      <c r="D36" s="133" t="s">
        <v>496</v>
      </c>
      <c r="E36" s="132" t="s">
        <v>125</v>
      </c>
      <c r="F36" s="132" t="s">
        <v>113</v>
      </c>
      <c r="G36" s="134">
        <v>36102</v>
      </c>
      <c r="H36" s="132">
        <v>17</v>
      </c>
      <c r="I36" s="132">
        <v>2</v>
      </c>
      <c r="J36" s="132">
        <v>55</v>
      </c>
      <c r="K36" s="132" t="s">
        <v>58</v>
      </c>
      <c r="L36" s="131" t="s">
        <v>276</v>
      </c>
      <c r="M36" s="132" t="s">
        <v>199</v>
      </c>
      <c r="N36" s="79"/>
      <c r="O36" s="79"/>
      <c r="P36" s="79"/>
      <c r="Q36" s="79"/>
      <c r="R36" s="79"/>
      <c r="S36" s="79"/>
      <c r="T36" s="79"/>
    </row>
    <row r="37" spans="1:20" s="80" customFormat="1" ht="15" customHeight="1" thickBot="1">
      <c r="A37" s="133"/>
      <c r="B37" s="133">
        <v>30</v>
      </c>
      <c r="C37" s="132" t="s">
        <v>38</v>
      </c>
      <c r="D37" s="133" t="s">
        <v>216</v>
      </c>
      <c r="E37" s="132" t="s">
        <v>39</v>
      </c>
      <c r="F37" s="132" t="s">
        <v>91</v>
      </c>
      <c r="G37" s="134">
        <v>33735</v>
      </c>
      <c r="H37" s="132">
        <v>23</v>
      </c>
      <c r="I37" s="132">
        <v>1</v>
      </c>
      <c r="J37" s="132">
        <v>78</v>
      </c>
      <c r="K37" s="132" t="s">
        <v>58</v>
      </c>
      <c r="L37" s="131" t="s">
        <v>276</v>
      </c>
      <c r="M37" s="132" t="s">
        <v>199</v>
      </c>
      <c r="N37" s="79"/>
      <c r="O37" s="79"/>
      <c r="P37" s="79"/>
      <c r="Q37" s="79"/>
      <c r="R37" s="79"/>
      <c r="S37" s="79"/>
      <c r="T37" s="79"/>
    </row>
    <row r="38" spans="1:20" s="80" customFormat="1" ht="15" customHeight="1" thickBot="1">
      <c r="A38" s="133"/>
      <c r="B38" s="133">
        <v>31</v>
      </c>
      <c r="C38" s="131" t="s">
        <v>46</v>
      </c>
      <c r="D38" s="131" t="s">
        <v>497</v>
      </c>
      <c r="E38" s="131" t="s">
        <v>498</v>
      </c>
      <c r="F38" s="131" t="s">
        <v>55</v>
      </c>
      <c r="G38" s="134">
        <v>36886</v>
      </c>
      <c r="H38" s="131">
        <v>15</v>
      </c>
      <c r="I38" s="131">
        <v>3</v>
      </c>
      <c r="J38" s="131">
        <v>52</v>
      </c>
      <c r="K38" s="132" t="s">
        <v>58</v>
      </c>
      <c r="L38" s="131" t="s">
        <v>321</v>
      </c>
      <c r="M38" s="131" t="s">
        <v>255</v>
      </c>
      <c r="N38" s="79"/>
      <c r="O38" s="79"/>
      <c r="P38" s="79"/>
      <c r="Q38" s="79"/>
      <c r="R38" s="79"/>
      <c r="S38" s="79"/>
      <c r="T38" s="79"/>
    </row>
    <row r="39" spans="1:20" s="80" customFormat="1" ht="15" customHeight="1" thickBot="1">
      <c r="A39" s="133"/>
      <c r="B39" s="133">
        <v>32</v>
      </c>
      <c r="C39" s="131" t="s">
        <v>46</v>
      </c>
      <c r="D39" s="131" t="s">
        <v>497</v>
      </c>
      <c r="E39" s="131" t="s">
        <v>180</v>
      </c>
      <c r="F39" s="131" t="s">
        <v>55</v>
      </c>
      <c r="G39" s="134">
        <v>36073</v>
      </c>
      <c r="H39" s="131">
        <v>17</v>
      </c>
      <c r="I39" s="131">
        <v>3</v>
      </c>
      <c r="J39" s="131">
        <v>55</v>
      </c>
      <c r="K39" s="132" t="s">
        <v>58</v>
      </c>
      <c r="L39" s="131" t="s">
        <v>321</v>
      </c>
      <c r="M39" s="131" t="s">
        <v>255</v>
      </c>
      <c r="N39" s="79"/>
      <c r="O39" s="79"/>
      <c r="P39" s="79"/>
      <c r="Q39" s="79"/>
      <c r="R39" s="79"/>
      <c r="S39" s="79"/>
      <c r="T39" s="79"/>
    </row>
    <row r="40" spans="1:20" s="80" customFormat="1" ht="15" customHeight="1" thickBot="1">
      <c r="A40" s="133"/>
      <c r="B40" s="133">
        <v>33</v>
      </c>
      <c r="C40" s="131" t="s">
        <v>33</v>
      </c>
      <c r="D40" s="131" t="s">
        <v>499</v>
      </c>
      <c r="E40" s="131" t="s">
        <v>500</v>
      </c>
      <c r="F40" s="131" t="s">
        <v>501</v>
      </c>
      <c r="G40" s="134">
        <v>36513</v>
      </c>
      <c r="H40" s="131">
        <v>16</v>
      </c>
      <c r="I40" s="131">
        <v>8</v>
      </c>
      <c r="J40" s="131">
        <v>54</v>
      </c>
      <c r="K40" s="131" t="s">
        <v>502</v>
      </c>
      <c r="L40" s="114" t="s">
        <v>334</v>
      </c>
      <c r="M40" s="131" t="s">
        <v>256</v>
      </c>
      <c r="N40" s="79"/>
      <c r="O40" s="79"/>
      <c r="P40" s="79"/>
      <c r="Q40" s="79"/>
      <c r="R40" s="79"/>
      <c r="S40" s="79"/>
      <c r="T40" s="79"/>
    </row>
    <row r="41" spans="1:20" s="80" customFormat="1" ht="15" customHeight="1" thickBot="1">
      <c r="A41" s="133"/>
      <c r="B41" s="133">
        <v>34</v>
      </c>
      <c r="C41" s="131" t="s">
        <v>33</v>
      </c>
      <c r="D41" s="131" t="s">
        <v>503</v>
      </c>
      <c r="E41" s="131" t="s">
        <v>504</v>
      </c>
      <c r="F41" s="131" t="s">
        <v>505</v>
      </c>
      <c r="G41" s="134">
        <v>37004</v>
      </c>
      <c r="H41" s="131">
        <v>14</v>
      </c>
      <c r="I41" s="131">
        <v>8</v>
      </c>
      <c r="J41" s="131">
        <v>54</v>
      </c>
      <c r="K41" s="131" t="s">
        <v>506</v>
      </c>
      <c r="L41" s="114" t="s">
        <v>334</v>
      </c>
      <c r="M41" s="131" t="s">
        <v>257</v>
      </c>
      <c r="N41" s="79"/>
      <c r="O41" s="79"/>
      <c r="P41" s="79"/>
      <c r="Q41" s="79"/>
      <c r="R41" s="79"/>
      <c r="S41" s="79"/>
      <c r="T41" s="79"/>
    </row>
    <row r="42" spans="1:20" s="80" customFormat="1" ht="15" customHeight="1" thickBot="1">
      <c r="A42" s="133"/>
      <c r="B42" s="133">
        <v>35</v>
      </c>
      <c r="C42" s="131" t="s">
        <v>33</v>
      </c>
      <c r="D42" s="131" t="s">
        <v>185</v>
      </c>
      <c r="E42" s="131" t="s">
        <v>39</v>
      </c>
      <c r="F42" s="131" t="s">
        <v>181</v>
      </c>
      <c r="G42" s="134">
        <v>36903</v>
      </c>
      <c r="H42" s="131">
        <v>15</v>
      </c>
      <c r="I42" s="131">
        <v>9</v>
      </c>
      <c r="J42" s="131">
        <v>49</v>
      </c>
      <c r="K42" s="131" t="s">
        <v>507</v>
      </c>
      <c r="L42" s="114" t="s">
        <v>334</v>
      </c>
      <c r="M42" s="131" t="s">
        <v>257</v>
      </c>
      <c r="N42" s="79"/>
      <c r="O42" s="79"/>
      <c r="P42" s="79"/>
      <c r="Q42" s="79"/>
      <c r="R42" s="79"/>
      <c r="S42" s="79"/>
      <c r="T42" s="79"/>
    </row>
    <row r="43" spans="1:20" s="80" customFormat="1" ht="15" customHeight="1" thickBot="1">
      <c r="A43" s="133"/>
      <c r="B43" s="133">
        <v>36</v>
      </c>
      <c r="C43" s="131" t="s">
        <v>33</v>
      </c>
      <c r="D43" s="131" t="s">
        <v>508</v>
      </c>
      <c r="E43" s="131" t="s">
        <v>43</v>
      </c>
      <c r="F43" s="131" t="s">
        <v>78</v>
      </c>
      <c r="G43" s="134">
        <v>37243</v>
      </c>
      <c r="H43" s="131">
        <v>14</v>
      </c>
      <c r="I43" s="131">
        <v>10</v>
      </c>
      <c r="J43" s="131">
        <v>56</v>
      </c>
      <c r="K43" s="131" t="s">
        <v>502</v>
      </c>
      <c r="L43" s="114" t="s">
        <v>334</v>
      </c>
      <c r="M43" s="131" t="s">
        <v>256</v>
      </c>
      <c r="N43" s="79"/>
      <c r="O43" s="79"/>
      <c r="P43" s="79"/>
      <c r="Q43" s="79"/>
      <c r="R43" s="79"/>
      <c r="S43" s="79"/>
      <c r="T43" s="79"/>
    </row>
    <row r="44" spans="1:20" s="80" customFormat="1" ht="15" customHeight="1" thickBot="1">
      <c r="A44" s="133"/>
      <c r="B44" s="133">
        <v>37</v>
      </c>
      <c r="C44" s="131" t="s">
        <v>33</v>
      </c>
      <c r="D44" s="131" t="s">
        <v>509</v>
      </c>
      <c r="E44" s="131" t="s">
        <v>510</v>
      </c>
      <c r="F44" s="131" t="s">
        <v>511</v>
      </c>
      <c r="G44" s="134">
        <v>37134</v>
      </c>
      <c r="H44" s="131">
        <v>14</v>
      </c>
      <c r="I44" s="131">
        <v>10</v>
      </c>
      <c r="J44" s="131">
        <v>53</v>
      </c>
      <c r="K44" s="131" t="s">
        <v>506</v>
      </c>
      <c r="L44" s="114" t="s">
        <v>334</v>
      </c>
      <c r="M44" s="131" t="s">
        <v>256</v>
      </c>
      <c r="N44" s="79"/>
      <c r="O44" s="79"/>
      <c r="P44" s="79"/>
      <c r="Q44" s="79"/>
      <c r="R44" s="79"/>
      <c r="S44" s="79"/>
      <c r="T44" s="79"/>
    </row>
    <row r="45" spans="1:20" s="80" customFormat="1" ht="15" customHeight="1" thickBot="1">
      <c r="A45" s="133"/>
      <c r="B45" s="133">
        <v>38</v>
      </c>
      <c r="C45" s="131" t="s">
        <v>33</v>
      </c>
      <c r="D45" s="131" t="s">
        <v>512</v>
      </c>
      <c r="E45" s="131" t="s">
        <v>513</v>
      </c>
      <c r="F45" s="131" t="s">
        <v>514</v>
      </c>
      <c r="G45" s="134">
        <v>36977</v>
      </c>
      <c r="H45" s="131">
        <v>15</v>
      </c>
      <c r="I45" s="131">
        <v>10</v>
      </c>
      <c r="J45" s="131">
        <v>37</v>
      </c>
      <c r="K45" s="131" t="s">
        <v>507</v>
      </c>
      <c r="L45" s="114" t="s">
        <v>334</v>
      </c>
      <c r="M45" s="131" t="s">
        <v>256</v>
      </c>
      <c r="N45" s="79"/>
      <c r="O45" s="79"/>
      <c r="P45" s="79"/>
      <c r="Q45" s="79"/>
      <c r="R45" s="79"/>
      <c r="S45" s="79"/>
      <c r="T45" s="79"/>
    </row>
    <row r="46" spans="1:20" s="80" customFormat="1" ht="15" customHeight="1" thickBot="1">
      <c r="A46" s="133"/>
      <c r="B46" s="133">
        <v>39</v>
      </c>
      <c r="C46" s="131" t="s">
        <v>33</v>
      </c>
      <c r="D46" s="131" t="s">
        <v>515</v>
      </c>
      <c r="E46" s="131" t="s">
        <v>43</v>
      </c>
      <c r="F46" s="131" t="s">
        <v>59</v>
      </c>
      <c r="G46" s="137">
        <v>36331</v>
      </c>
      <c r="H46" s="131">
        <v>16</v>
      </c>
      <c r="I46" s="131">
        <v>3</v>
      </c>
      <c r="J46" s="131">
        <v>74</v>
      </c>
      <c r="K46" s="132" t="s">
        <v>58</v>
      </c>
      <c r="L46" s="131" t="s">
        <v>347</v>
      </c>
      <c r="M46" s="131" t="s">
        <v>184</v>
      </c>
      <c r="N46" s="79"/>
      <c r="O46" s="79"/>
      <c r="P46" s="79"/>
      <c r="Q46" s="79"/>
      <c r="R46" s="79"/>
      <c r="S46" s="79"/>
      <c r="T46" s="79"/>
    </row>
    <row r="47" spans="1:20" s="80" customFormat="1" ht="15" customHeight="1" thickBot="1">
      <c r="A47" s="133"/>
      <c r="B47" s="133">
        <v>40</v>
      </c>
      <c r="C47" s="131" t="s">
        <v>33</v>
      </c>
      <c r="D47" s="131" t="s">
        <v>516</v>
      </c>
      <c r="E47" s="131" t="s">
        <v>43</v>
      </c>
      <c r="F47" s="131" t="s">
        <v>78</v>
      </c>
      <c r="G47" s="137">
        <v>36006</v>
      </c>
      <c r="H47" s="131">
        <v>17</v>
      </c>
      <c r="I47" s="131">
        <v>3</v>
      </c>
      <c r="J47" s="131">
        <v>72</v>
      </c>
      <c r="K47" s="132" t="s">
        <v>58</v>
      </c>
      <c r="L47" s="131" t="s">
        <v>347</v>
      </c>
      <c r="M47" s="131" t="s">
        <v>184</v>
      </c>
      <c r="N47" s="79"/>
      <c r="O47" s="79"/>
      <c r="P47" s="79"/>
      <c r="Q47" s="79"/>
      <c r="R47" s="79"/>
      <c r="S47" s="79"/>
      <c r="T47" s="79"/>
    </row>
    <row r="48" spans="1:20" s="80" customFormat="1" ht="15" customHeight="1" thickBot="1">
      <c r="A48" s="133"/>
      <c r="B48" s="133">
        <v>41</v>
      </c>
      <c r="C48" s="131" t="s">
        <v>33</v>
      </c>
      <c r="D48" s="131" t="s">
        <v>517</v>
      </c>
      <c r="E48" s="131" t="s">
        <v>40</v>
      </c>
      <c r="F48" s="131" t="s">
        <v>518</v>
      </c>
      <c r="G48" s="137">
        <v>36255</v>
      </c>
      <c r="H48" s="131">
        <v>16</v>
      </c>
      <c r="I48" s="131">
        <v>9</v>
      </c>
      <c r="J48" s="131">
        <v>72</v>
      </c>
      <c r="K48" s="132" t="s">
        <v>58</v>
      </c>
      <c r="L48" s="131" t="s">
        <v>347</v>
      </c>
      <c r="M48" s="131" t="s">
        <v>184</v>
      </c>
      <c r="N48" s="79"/>
      <c r="O48" s="79"/>
      <c r="P48" s="79"/>
      <c r="Q48" s="79"/>
      <c r="R48" s="79"/>
      <c r="S48" s="79"/>
      <c r="T48" s="79"/>
    </row>
    <row r="49" spans="1:20" s="80" customFormat="1" ht="15" customHeight="1" thickBot="1">
      <c r="A49" s="133"/>
      <c r="B49" s="133">
        <v>42</v>
      </c>
      <c r="C49" s="131" t="s">
        <v>33</v>
      </c>
      <c r="D49" s="131" t="s">
        <v>519</v>
      </c>
      <c r="E49" s="131" t="s">
        <v>61</v>
      </c>
      <c r="F49" s="131" t="s">
        <v>113</v>
      </c>
      <c r="G49" s="137">
        <v>36444</v>
      </c>
      <c r="H49" s="131">
        <v>16</v>
      </c>
      <c r="I49" s="131">
        <v>9</v>
      </c>
      <c r="J49" s="131">
        <v>73</v>
      </c>
      <c r="K49" s="132" t="s">
        <v>58</v>
      </c>
      <c r="L49" s="131" t="s">
        <v>347</v>
      </c>
      <c r="M49" s="131" t="s">
        <v>184</v>
      </c>
      <c r="N49" s="79"/>
      <c r="O49" s="79"/>
      <c r="P49" s="79"/>
      <c r="Q49" s="79"/>
      <c r="R49" s="79"/>
      <c r="S49" s="79"/>
      <c r="T49" s="79"/>
    </row>
    <row r="50" spans="1:20" s="80" customFormat="1" ht="15" customHeight="1" thickBot="1">
      <c r="A50" s="133"/>
      <c r="B50" s="133">
        <v>43</v>
      </c>
      <c r="C50" s="131" t="s">
        <v>53</v>
      </c>
      <c r="D50" s="131" t="s">
        <v>520</v>
      </c>
      <c r="E50" s="131" t="s">
        <v>220</v>
      </c>
      <c r="F50" s="131" t="s">
        <v>521</v>
      </c>
      <c r="G50" s="137">
        <v>35905</v>
      </c>
      <c r="H50" s="131">
        <v>17</v>
      </c>
      <c r="I50" s="131">
        <v>7</v>
      </c>
      <c r="J50" s="131">
        <v>66</v>
      </c>
      <c r="K50" s="132" t="s">
        <v>58</v>
      </c>
      <c r="L50" s="131" t="s">
        <v>347</v>
      </c>
      <c r="M50" s="131" t="s">
        <v>184</v>
      </c>
      <c r="N50" s="79"/>
      <c r="O50" s="79"/>
      <c r="P50" s="79"/>
      <c r="Q50" s="79"/>
      <c r="R50" s="79"/>
      <c r="S50" s="79"/>
      <c r="T50" s="79"/>
    </row>
    <row r="51" spans="1:20" s="80" customFormat="1" ht="15" customHeight="1" thickBot="1">
      <c r="A51" s="133"/>
      <c r="B51" s="133">
        <v>44</v>
      </c>
      <c r="C51" s="131" t="s">
        <v>33</v>
      </c>
      <c r="D51" s="131" t="s">
        <v>522</v>
      </c>
      <c r="E51" s="131" t="s">
        <v>68</v>
      </c>
      <c r="F51" s="131" t="s">
        <v>79</v>
      </c>
      <c r="G51" s="137">
        <v>36244</v>
      </c>
      <c r="H51" s="131">
        <v>17</v>
      </c>
      <c r="I51" s="131">
        <v>4</v>
      </c>
      <c r="J51" s="131">
        <v>53</v>
      </c>
      <c r="K51" s="132" t="s">
        <v>58</v>
      </c>
      <c r="L51" s="131" t="s">
        <v>347</v>
      </c>
      <c r="M51" s="131" t="s">
        <v>184</v>
      </c>
      <c r="N51" s="79"/>
      <c r="O51" s="79"/>
      <c r="P51" s="79"/>
      <c r="Q51" s="79"/>
      <c r="R51" s="79"/>
      <c r="S51" s="79"/>
      <c r="T51" s="79"/>
    </row>
    <row r="52" spans="1:20" s="80" customFormat="1" ht="15" customHeight="1" thickBot="1">
      <c r="A52" s="133"/>
      <c r="B52" s="133">
        <v>45</v>
      </c>
      <c r="C52" s="131" t="s">
        <v>53</v>
      </c>
      <c r="D52" s="131" t="s">
        <v>523</v>
      </c>
      <c r="E52" s="131" t="s">
        <v>158</v>
      </c>
      <c r="F52" s="131" t="s">
        <v>131</v>
      </c>
      <c r="G52" s="137">
        <v>36673</v>
      </c>
      <c r="H52" s="131">
        <v>15</v>
      </c>
      <c r="I52" s="131">
        <v>8</v>
      </c>
      <c r="J52" s="131">
        <v>73</v>
      </c>
      <c r="K52" s="132" t="s">
        <v>58</v>
      </c>
      <c r="L52" s="131" t="s">
        <v>347</v>
      </c>
      <c r="M52" s="131" t="s">
        <v>258</v>
      </c>
      <c r="N52" s="79"/>
      <c r="O52" s="79"/>
      <c r="P52" s="79"/>
      <c r="Q52" s="79"/>
      <c r="R52" s="79"/>
      <c r="S52" s="79"/>
      <c r="T52" s="79"/>
    </row>
    <row r="53" spans="1:20" s="80" customFormat="1" ht="15" customHeight="1" thickBot="1">
      <c r="A53" s="133"/>
      <c r="B53" s="133">
        <v>46</v>
      </c>
      <c r="C53" s="131" t="s">
        <v>33</v>
      </c>
      <c r="D53" s="131" t="s">
        <v>524</v>
      </c>
      <c r="E53" s="131" t="s">
        <v>525</v>
      </c>
      <c r="F53" s="131" t="s">
        <v>87</v>
      </c>
      <c r="G53" s="137">
        <v>37919</v>
      </c>
      <c r="H53" s="131">
        <v>12</v>
      </c>
      <c r="I53" s="131">
        <v>7</v>
      </c>
      <c r="J53" s="131">
        <v>29</v>
      </c>
      <c r="K53" s="132" t="s">
        <v>58</v>
      </c>
      <c r="L53" s="131" t="s">
        <v>347</v>
      </c>
      <c r="M53" s="131" t="s">
        <v>258</v>
      </c>
      <c r="N53" s="79"/>
      <c r="O53" s="79"/>
      <c r="P53" s="79"/>
      <c r="Q53" s="79"/>
      <c r="R53" s="79"/>
      <c r="S53" s="79"/>
      <c r="T53" s="79"/>
    </row>
    <row r="54" spans="1:20" s="80" customFormat="1" ht="15" customHeight="1" thickBot="1">
      <c r="A54" s="133"/>
      <c r="B54" s="133">
        <v>47</v>
      </c>
      <c r="C54" s="131" t="s">
        <v>33</v>
      </c>
      <c r="D54" s="131" t="s">
        <v>526</v>
      </c>
      <c r="E54" s="131" t="s">
        <v>40</v>
      </c>
      <c r="F54" s="131" t="s">
        <v>63</v>
      </c>
      <c r="G54" s="137">
        <v>36698</v>
      </c>
      <c r="H54" s="131">
        <v>15</v>
      </c>
      <c r="I54" s="131">
        <v>7</v>
      </c>
      <c r="J54" s="131">
        <v>68</v>
      </c>
      <c r="K54" s="132" t="s">
        <v>58</v>
      </c>
      <c r="L54" s="131" t="s">
        <v>347</v>
      </c>
      <c r="M54" s="131" t="s">
        <v>258</v>
      </c>
      <c r="N54" s="79"/>
      <c r="O54" s="79"/>
      <c r="P54" s="79"/>
      <c r="Q54" s="79"/>
      <c r="R54" s="79"/>
      <c r="S54" s="79"/>
      <c r="T54" s="79"/>
    </row>
    <row r="55" spans="1:20" s="80" customFormat="1" ht="15" customHeight="1" thickBot="1">
      <c r="A55" s="133"/>
      <c r="B55" s="133">
        <v>48</v>
      </c>
      <c r="C55" s="131" t="s">
        <v>53</v>
      </c>
      <c r="D55" s="131" t="s">
        <v>527</v>
      </c>
      <c r="E55" s="131" t="s">
        <v>341</v>
      </c>
      <c r="F55" s="131" t="s">
        <v>156</v>
      </c>
      <c r="G55" s="137">
        <v>37898</v>
      </c>
      <c r="H55" s="131">
        <v>12</v>
      </c>
      <c r="I55" s="131">
        <v>7</v>
      </c>
      <c r="J55" s="131">
        <v>34</v>
      </c>
      <c r="K55" s="132" t="s">
        <v>58</v>
      </c>
      <c r="L55" s="131" t="s">
        <v>347</v>
      </c>
      <c r="M55" s="131" t="s">
        <v>258</v>
      </c>
      <c r="N55" s="79"/>
      <c r="O55" s="79"/>
      <c r="P55" s="79"/>
      <c r="Q55" s="79"/>
      <c r="R55" s="79"/>
      <c r="S55" s="79"/>
      <c r="T55" s="79"/>
    </row>
    <row r="56" spans="1:20" s="80" customFormat="1" ht="15" customHeight="1" thickBot="1">
      <c r="A56" s="133"/>
      <c r="B56" s="133">
        <v>49</v>
      </c>
      <c r="C56" s="131" t="s">
        <v>33</v>
      </c>
      <c r="D56" s="131" t="s">
        <v>528</v>
      </c>
      <c r="E56" s="131" t="s">
        <v>66</v>
      </c>
      <c r="F56" s="131" t="s">
        <v>82</v>
      </c>
      <c r="G56" s="137">
        <v>36917</v>
      </c>
      <c r="H56" s="131">
        <v>15</v>
      </c>
      <c r="I56" s="131">
        <v>9</v>
      </c>
      <c r="J56" s="131">
        <v>56</v>
      </c>
      <c r="K56" s="132" t="s">
        <v>58</v>
      </c>
      <c r="L56" s="131" t="s">
        <v>347</v>
      </c>
      <c r="M56" s="131" t="s">
        <v>258</v>
      </c>
      <c r="N56" s="79"/>
      <c r="O56" s="79"/>
      <c r="P56" s="79"/>
      <c r="Q56" s="79"/>
      <c r="R56" s="79"/>
      <c r="S56" s="79"/>
      <c r="T56" s="79"/>
    </row>
    <row r="57" spans="1:20" s="80" customFormat="1" ht="15" customHeight="1" thickBot="1">
      <c r="A57" s="133"/>
      <c r="B57" s="133">
        <v>50</v>
      </c>
      <c r="C57" s="131" t="s">
        <v>33</v>
      </c>
      <c r="D57" s="131" t="s">
        <v>529</v>
      </c>
      <c r="E57" s="131" t="s">
        <v>66</v>
      </c>
      <c r="F57" s="131" t="s">
        <v>67</v>
      </c>
      <c r="G57" s="137">
        <v>37710</v>
      </c>
      <c r="H57" s="131">
        <v>12</v>
      </c>
      <c r="I57" s="131">
        <v>8</v>
      </c>
      <c r="J57" s="131">
        <v>48</v>
      </c>
      <c r="K57" s="132" t="s">
        <v>58</v>
      </c>
      <c r="L57" s="131" t="s">
        <v>347</v>
      </c>
      <c r="M57" s="131" t="s">
        <v>258</v>
      </c>
      <c r="N57" s="79"/>
      <c r="O57" s="79"/>
      <c r="P57" s="79"/>
      <c r="Q57" s="79"/>
      <c r="R57" s="79"/>
      <c r="S57" s="79"/>
      <c r="T57" s="79"/>
    </row>
    <row r="58" spans="1:20" s="80" customFormat="1" ht="15" customHeight="1" thickBot="1">
      <c r="A58" s="133"/>
      <c r="B58" s="133">
        <v>51</v>
      </c>
      <c r="C58" s="131" t="s">
        <v>53</v>
      </c>
      <c r="D58" s="131" t="s">
        <v>530</v>
      </c>
      <c r="E58" s="131" t="s">
        <v>65</v>
      </c>
      <c r="F58" s="131" t="s">
        <v>116</v>
      </c>
      <c r="G58" s="137">
        <v>36764</v>
      </c>
      <c r="H58" s="131">
        <v>15</v>
      </c>
      <c r="I58" s="131">
        <v>8</v>
      </c>
      <c r="J58" s="131">
        <v>39</v>
      </c>
      <c r="K58" s="132" t="s">
        <v>58</v>
      </c>
      <c r="L58" s="131" t="s">
        <v>347</v>
      </c>
      <c r="M58" s="131" t="s">
        <v>258</v>
      </c>
      <c r="N58" s="79"/>
      <c r="O58" s="79"/>
      <c r="P58" s="79"/>
      <c r="Q58" s="79"/>
      <c r="R58" s="79"/>
      <c r="S58" s="79"/>
      <c r="T58" s="79"/>
    </row>
    <row r="59" spans="1:20" s="80" customFormat="1" ht="15" customHeight="1" thickBot="1">
      <c r="A59" s="133"/>
      <c r="B59" s="133">
        <v>52</v>
      </c>
      <c r="C59" s="131" t="s">
        <v>33</v>
      </c>
      <c r="D59" s="131" t="s">
        <v>531</v>
      </c>
      <c r="E59" s="131" t="s">
        <v>81</v>
      </c>
      <c r="F59" s="131" t="s">
        <v>78</v>
      </c>
      <c r="G59" s="137">
        <v>37248</v>
      </c>
      <c r="H59" s="131">
        <v>14</v>
      </c>
      <c r="I59" s="131">
        <v>8</v>
      </c>
      <c r="J59" s="131">
        <v>62</v>
      </c>
      <c r="K59" s="132" t="s">
        <v>58</v>
      </c>
      <c r="L59" s="131" t="s">
        <v>347</v>
      </c>
      <c r="M59" s="131" t="s">
        <v>258</v>
      </c>
      <c r="N59" s="79"/>
      <c r="O59" s="79"/>
      <c r="P59" s="79"/>
      <c r="Q59" s="79"/>
      <c r="R59" s="79"/>
      <c r="S59" s="79"/>
      <c r="T59" s="79"/>
    </row>
    <row r="60" spans="1:20" s="80" customFormat="1" ht="15" customHeight="1" thickBot="1">
      <c r="A60" s="133"/>
      <c r="B60" s="133">
        <v>53</v>
      </c>
      <c r="C60" s="131" t="s">
        <v>33</v>
      </c>
      <c r="D60" s="131" t="s">
        <v>532</v>
      </c>
      <c r="E60" s="131" t="s">
        <v>183</v>
      </c>
      <c r="F60" s="131" t="s">
        <v>146</v>
      </c>
      <c r="G60" s="137">
        <v>37828</v>
      </c>
      <c r="H60" s="131">
        <v>13</v>
      </c>
      <c r="I60" s="131" t="s">
        <v>533</v>
      </c>
      <c r="J60" s="131">
        <v>62</v>
      </c>
      <c r="K60" s="132" t="s">
        <v>58</v>
      </c>
      <c r="L60" s="131" t="s">
        <v>347</v>
      </c>
      <c r="M60" s="131" t="s">
        <v>258</v>
      </c>
      <c r="N60" s="79"/>
      <c r="O60" s="79"/>
      <c r="P60" s="79"/>
      <c r="Q60" s="79"/>
      <c r="R60" s="79"/>
      <c r="S60" s="79"/>
      <c r="T60" s="79"/>
    </row>
    <row r="61" spans="1:20" s="80" customFormat="1" ht="15" customHeight="1" thickBot="1">
      <c r="A61" s="133"/>
      <c r="B61" s="133">
        <v>54</v>
      </c>
      <c r="C61" s="131" t="s">
        <v>38</v>
      </c>
      <c r="D61" s="138" t="s">
        <v>534</v>
      </c>
      <c r="E61" s="139" t="s">
        <v>378</v>
      </c>
      <c r="F61" s="139" t="s">
        <v>161</v>
      </c>
      <c r="G61" s="137">
        <v>37904</v>
      </c>
      <c r="H61" s="140">
        <v>12</v>
      </c>
      <c r="I61" s="140">
        <v>5</v>
      </c>
      <c r="J61" s="140">
        <v>44</v>
      </c>
      <c r="K61" s="140" t="s">
        <v>58</v>
      </c>
      <c r="L61" s="131" t="s">
        <v>358</v>
      </c>
      <c r="M61" s="140" t="s">
        <v>359</v>
      </c>
      <c r="N61" s="79"/>
      <c r="O61" s="79"/>
      <c r="P61" s="79"/>
      <c r="Q61" s="79"/>
      <c r="R61" s="79"/>
      <c r="S61" s="79"/>
      <c r="T61" s="79"/>
    </row>
    <row r="62" spans="1:20" s="80" customFormat="1" ht="15" customHeight="1" thickBot="1">
      <c r="A62" s="133"/>
      <c r="B62" s="133">
        <v>55</v>
      </c>
      <c r="C62" s="131" t="s">
        <v>38</v>
      </c>
      <c r="D62" s="141" t="s">
        <v>535</v>
      </c>
      <c r="E62" s="142" t="s">
        <v>61</v>
      </c>
      <c r="F62" s="142" t="s">
        <v>71</v>
      </c>
      <c r="G62" s="137">
        <v>37530</v>
      </c>
      <c r="H62" s="143">
        <v>13</v>
      </c>
      <c r="I62" s="143">
        <v>5</v>
      </c>
      <c r="J62" s="143">
        <v>54</v>
      </c>
      <c r="K62" s="143" t="s">
        <v>58</v>
      </c>
      <c r="L62" s="131" t="s">
        <v>358</v>
      </c>
      <c r="M62" s="143" t="s">
        <v>359</v>
      </c>
      <c r="N62" s="79"/>
      <c r="O62" s="79"/>
      <c r="P62" s="79"/>
      <c r="Q62" s="79"/>
      <c r="R62" s="79"/>
      <c r="S62" s="79"/>
      <c r="T62" s="79"/>
    </row>
    <row r="63" spans="1:20" s="80" customFormat="1" ht="15" customHeight="1" thickBot="1">
      <c r="A63" s="133"/>
      <c r="B63" s="133">
        <v>56</v>
      </c>
      <c r="C63" s="131" t="s">
        <v>38</v>
      </c>
      <c r="D63" s="141" t="s">
        <v>536</v>
      </c>
      <c r="E63" s="142" t="s">
        <v>49</v>
      </c>
      <c r="F63" s="142" t="s">
        <v>173</v>
      </c>
      <c r="G63" s="137">
        <v>37218</v>
      </c>
      <c r="H63" s="143">
        <v>14</v>
      </c>
      <c r="I63" s="143">
        <v>6</v>
      </c>
      <c r="J63" s="143">
        <v>56</v>
      </c>
      <c r="K63" s="143" t="s">
        <v>58</v>
      </c>
      <c r="L63" s="131" t="s">
        <v>358</v>
      </c>
      <c r="M63" s="143" t="s">
        <v>359</v>
      </c>
      <c r="N63" s="79"/>
      <c r="O63" s="79"/>
      <c r="P63" s="79"/>
      <c r="Q63" s="79"/>
      <c r="R63" s="79"/>
      <c r="S63" s="79"/>
      <c r="T63" s="79"/>
    </row>
    <row r="64" spans="1:20" ht="15" customHeight="1" thickBot="1">
      <c r="A64" s="133"/>
      <c r="B64" s="133">
        <v>57</v>
      </c>
      <c r="C64" s="114" t="s">
        <v>38</v>
      </c>
      <c r="D64" s="144" t="s">
        <v>537</v>
      </c>
      <c r="E64" s="145" t="s">
        <v>40</v>
      </c>
      <c r="F64" s="145" t="s">
        <v>113</v>
      </c>
      <c r="G64" s="120">
        <v>36557</v>
      </c>
      <c r="H64" s="123">
        <v>16</v>
      </c>
      <c r="I64" s="123">
        <v>5</v>
      </c>
      <c r="J64" s="123">
        <v>74</v>
      </c>
      <c r="K64" s="123" t="s">
        <v>58</v>
      </c>
      <c r="L64" s="114" t="s">
        <v>358</v>
      </c>
      <c r="M64" s="123" t="s">
        <v>359</v>
      </c>
      <c r="N64" s="4"/>
      <c r="O64" s="4"/>
      <c r="P64" s="4"/>
      <c r="Q64" s="4"/>
      <c r="R64" s="4"/>
      <c r="S64" s="4"/>
      <c r="T64" s="4"/>
    </row>
    <row r="65" spans="1:20" ht="15" customHeight="1" thickBot="1">
      <c r="A65" s="133"/>
      <c r="B65" s="133">
        <v>58</v>
      </c>
      <c r="C65" s="114" t="s">
        <v>38</v>
      </c>
      <c r="D65" s="144" t="s">
        <v>538</v>
      </c>
      <c r="E65" s="145" t="s">
        <v>165</v>
      </c>
      <c r="F65" s="145" t="s">
        <v>113</v>
      </c>
      <c r="G65" s="120">
        <v>36702</v>
      </c>
      <c r="H65" s="123">
        <v>15</v>
      </c>
      <c r="I65" s="123">
        <v>7</v>
      </c>
      <c r="J65" s="123">
        <v>57</v>
      </c>
      <c r="K65" s="123" t="s">
        <v>58</v>
      </c>
      <c r="L65" s="114" t="s">
        <v>358</v>
      </c>
      <c r="M65" s="123" t="s">
        <v>359</v>
      </c>
      <c r="N65" s="4"/>
      <c r="O65" s="4"/>
      <c r="P65" s="4"/>
      <c r="Q65" s="4"/>
      <c r="R65" s="4"/>
      <c r="S65" s="4"/>
      <c r="T65" s="4"/>
    </row>
    <row r="66" spans="1:20" s="78" customFormat="1" ht="15" customHeight="1" thickBot="1">
      <c r="A66" s="256"/>
      <c r="B66" s="256">
        <v>59</v>
      </c>
      <c r="C66" s="121" t="s">
        <v>38</v>
      </c>
      <c r="D66" s="146" t="s">
        <v>539</v>
      </c>
      <c r="E66" s="147" t="s">
        <v>61</v>
      </c>
      <c r="F66" s="147" t="s">
        <v>540</v>
      </c>
      <c r="G66" s="124">
        <v>37104</v>
      </c>
      <c r="H66" s="148">
        <v>14</v>
      </c>
      <c r="I66" s="148">
        <v>7</v>
      </c>
      <c r="J66" s="148">
        <v>55</v>
      </c>
      <c r="K66" s="148" t="s">
        <v>58</v>
      </c>
      <c r="L66" s="121" t="s">
        <v>358</v>
      </c>
      <c r="M66" s="148" t="s">
        <v>359</v>
      </c>
      <c r="N66" s="77"/>
      <c r="O66" s="77"/>
      <c r="P66" s="77"/>
      <c r="Q66" s="77"/>
      <c r="R66" s="77"/>
      <c r="S66" s="77"/>
      <c r="T66" s="77"/>
    </row>
    <row r="67" spans="1:20" ht="15" customHeight="1" thickBot="1">
      <c r="A67" s="133"/>
      <c r="B67" s="133">
        <v>60</v>
      </c>
      <c r="C67" s="114" t="s">
        <v>38</v>
      </c>
      <c r="D67" s="144" t="s">
        <v>541</v>
      </c>
      <c r="E67" s="145" t="s">
        <v>220</v>
      </c>
      <c r="F67" s="145" t="s">
        <v>542</v>
      </c>
      <c r="G67" s="120">
        <v>37369</v>
      </c>
      <c r="H67" s="123">
        <v>13</v>
      </c>
      <c r="I67" s="123">
        <v>9</v>
      </c>
      <c r="J67" s="123">
        <v>49</v>
      </c>
      <c r="K67" s="123" t="s">
        <v>58</v>
      </c>
      <c r="L67" s="114" t="s">
        <v>358</v>
      </c>
      <c r="M67" s="123" t="s">
        <v>359</v>
      </c>
      <c r="N67" s="4"/>
      <c r="O67" s="4"/>
      <c r="P67" s="4"/>
      <c r="Q67" s="4"/>
      <c r="R67" s="4"/>
      <c r="S67" s="4"/>
      <c r="T67" s="4"/>
    </row>
    <row r="68" spans="1:20" ht="15" customHeight="1" thickBot="1">
      <c r="A68" s="133"/>
      <c r="B68" s="133">
        <v>61</v>
      </c>
      <c r="C68" s="114" t="s">
        <v>46</v>
      </c>
      <c r="D68" s="144" t="s">
        <v>543</v>
      </c>
      <c r="E68" s="145" t="s">
        <v>544</v>
      </c>
      <c r="F68" s="145" t="s">
        <v>545</v>
      </c>
      <c r="G68" s="120">
        <v>37401</v>
      </c>
      <c r="H68" s="123">
        <v>13</v>
      </c>
      <c r="I68" s="123">
        <v>6</v>
      </c>
      <c r="J68" s="123">
        <v>59</v>
      </c>
      <c r="K68" s="123" t="s">
        <v>58</v>
      </c>
      <c r="L68" s="114" t="s">
        <v>358</v>
      </c>
      <c r="M68" s="123" t="s">
        <v>359</v>
      </c>
      <c r="N68" s="4"/>
      <c r="O68" s="4"/>
      <c r="P68" s="4"/>
      <c r="Q68" s="4"/>
      <c r="R68" s="4"/>
      <c r="S68" s="4"/>
      <c r="T68" s="4"/>
    </row>
    <row r="69" spans="1:20" ht="15" customHeight="1" thickBot="1">
      <c r="A69" s="133"/>
      <c r="B69" s="133">
        <v>62</v>
      </c>
      <c r="C69" s="114" t="s">
        <v>38</v>
      </c>
      <c r="D69" s="144" t="s">
        <v>546</v>
      </c>
      <c r="E69" s="145" t="s">
        <v>115</v>
      </c>
      <c r="F69" s="145" t="s">
        <v>169</v>
      </c>
      <c r="G69" s="120">
        <v>37262</v>
      </c>
      <c r="H69" s="123">
        <v>14</v>
      </c>
      <c r="I69" s="123">
        <v>6</v>
      </c>
      <c r="J69" s="123">
        <v>70</v>
      </c>
      <c r="K69" s="123" t="s">
        <v>58</v>
      </c>
      <c r="L69" s="114" t="s">
        <v>358</v>
      </c>
      <c r="M69" s="123" t="s">
        <v>359</v>
      </c>
      <c r="N69" s="4"/>
      <c r="O69" s="4"/>
      <c r="P69" s="4"/>
      <c r="Q69" s="4"/>
      <c r="R69" s="4"/>
      <c r="S69" s="4"/>
      <c r="T69" s="4"/>
    </row>
    <row r="70" spans="1:20" ht="15" customHeight="1" thickBot="1">
      <c r="A70" s="133"/>
      <c r="B70" s="133">
        <v>63</v>
      </c>
      <c r="C70" s="114" t="s">
        <v>38</v>
      </c>
      <c r="D70" s="144" t="s">
        <v>547</v>
      </c>
      <c r="E70" s="145" t="s">
        <v>168</v>
      </c>
      <c r="F70" s="145" t="s">
        <v>169</v>
      </c>
      <c r="G70" s="120">
        <v>37397</v>
      </c>
      <c r="H70" s="123">
        <v>14</v>
      </c>
      <c r="I70" s="123"/>
      <c r="J70" s="123">
        <v>36</v>
      </c>
      <c r="K70" s="123" t="s">
        <v>58</v>
      </c>
      <c r="L70" s="114" t="s">
        <v>358</v>
      </c>
      <c r="M70" s="123" t="s">
        <v>359</v>
      </c>
      <c r="N70" s="4"/>
      <c r="O70" s="4"/>
      <c r="P70" s="4"/>
      <c r="Q70" s="4"/>
      <c r="R70" s="4"/>
      <c r="S70" s="4"/>
      <c r="T70" s="4"/>
    </row>
    <row r="71" spans="1:20" ht="15" customHeight="1" thickBot="1">
      <c r="A71" s="133"/>
      <c r="B71" s="133">
        <v>64</v>
      </c>
      <c r="C71" s="114" t="s">
        <v>38</v>
      </c>
      <c r="D71" s="114" t="s">
        <v>362</v>
      </c>
      <c r="E71" s="114" t="s">
        <v>326</v>
      </c>
      <c r="F71" s="114" t="s">
        <v>113</v>
      </c>
      <c r="G71" s="120">
        <v>37688</v>
      </c>
      <c r="H71" s="114">
        <v>13</v>
      </c>
      <c r="I71" s="114" t="s">
        <v>548</v>
      </c>
      <c r="J71" s="114" t="s">
        <v>369</v>
      </c>
      <c r="K71" s="114" t="s">
        <v>34</v>
      </c>
      <c r="L71" s="114" t="s">
        <v>365</v>
      </c>
      <c r="M71" s="114" t="s">
        <v>261</v>
      </c>
      <c r="N71" s="4"/>
      <c r="O71" s="4"/>
      <c r="P71" s="4"/>
      <c r="Q71" s="4"/>
      <c r="R71" s="4"/>
      <c r="S71" s="4"/>
      <c r="T71" s="4"/>
    </row>
    <row r="72" spans="1:20" ht="15" customHeight="1" thickBot="1">
      <c r="A72" s="133"/>
      <c r="B72" s="133">
        <v>65</v>
      </c>
      <c r="C72" s="114" t="s">
        <v>38</v>
      </c>
      <c r="D72" s="114" t="s">
        <v>549</v>
      </c>
      <c r="E72" s="114" t="s">
        <v>124</v>
      </c>
      <c r="F72" s="114" t="s">
        <v>550</v>
      </c>
      <c r="G72" s="120">
        <v>37187</v>
      </c>
      <c r="H72" s="114">
        <v>14</v>
      </c>
      <c r="I72" s="114" t="s">
        <v>551</v>
      </c>
      <c r="J72" s="114" t="s">
        <v>552</v>
      </c>
      <c r="K72" s="114" t="s">
        <v>148</v>
      </c>
      <c r="L72" s="114" t="s">
        <v>365</v>
      </c>
      <c r="M72" s="114" t="s">
        <v>261</v>
      </c>
      <c r="N72" s="4"/>
      <c r="O72" s="4"/>
      <c r="P72" s="4"/>
      <c r="Q72" s="4"/>
      <c r="R72" s="4"/>
      <c r="S72" s="4"/>
      <c r="T72" s="4"/>
    </row>
    <row r="73" spans="1:20" ht="15" customHeight="1" thickBot="1">
      <c r="A73" s="133"/>
      <c r="B73" s="133">
        <v>66</v>
      </c>
      <c r="C73" s="114" t="s">
        <v>38</v>
      </c>
      <c r="D73" s="114" t="s">
        <v>553</v>
      </c>
      <c r="E73" s="114" t="s">
        <v>89</v>
      </c>
      <c r="F73" s="114" t="s">
        <v>74</v>
      </c>
      <c r="G73" s="120">
        <v>37707</v>
      </c>
      <c r="H73" s="114">
        <v>13</v>
      </c>
      <c r="I73" s="114" t="s">
        <v>374</v>
      </c>
      <c r="J73" s="114" t="s">
        <v>554</v>
      </c>
      <c r="K73" s="114" t="s">
        <v>555</v>
      </c>
      <c r="L73" s="114" t="s">
        <v>365</v>
      </c>
      <c r="M73" s="114" t="s">
        <v>261</v>
      </c>
      <c r="N73" s="4"/>
      <c r="O73" s="4"/>
      <c r="P73" s="4"/>
      <c r="Q73" s="4"/>
      <c r="R73" s="4"/>
      <c r="S73" s="4"/>
      <c r="T73" s="4"/>
    </row>
    <row r="74" spans="1:20" ht="15" customHeight="1" thickBot="1">
      <c r="A74" s="133"/>
      <c r="B74" s="133">
        <v>67</v>
      </c>
      <c r="C74" s="114" t="s">
        <v>38</v>
      </c>
      <c r="D74" s="114" t="s">
        <v>556</v>
      </c>
      <c r="E74" s="114" t="s">
        <v>557</v>
      </c>
      <c r="F74" s="114" t="s">
        <v>161</v>
      </c>
      <c r="G74" s="120">
        <v>37655</v>
      </c>
      <c r="H74" s="114">
        <v>13</v>
      </c>
      <c r="I74" s="114" t="s">
        <v>374</v>
      </c>
      <c r="J74" s="114" t="s">
        <v>552</v>
      </c>
      <c r="K74" s="114" t="s">
        <v>148</v>
      </c>
      <c r="L74" s="114" t="s">
        <v>365</v>
      </c>
      <c r="M74" s="114" t="s">
        <v>261</v>
      </c>
      <c r="N74" s="4"/>
      <c r="O74" s="4"/>
      <c r="P74" s="4"/>
      <c r="Q74" s="4"/>
      <c r="R74" s="4"/>
      <c r="S74" s="4"/>
      <c r="T74" s="4"/>
    </row>
    <row r="75" spans="1:20" ht="15" customHeight="1" thickBot="1">
      <c r="A75" s="133"/>
      <c r="B75" s="133">
        <v>68</v>
      </c>
      <c r="C75" s="114" t="s">
        <v>38</v>
      </c>
      <c r="D75" s="114" t="s">
        <v>558</v>
      </c>
      <c r="E75" s="114" t="s">
        <v>50</v>
      </c>
      <c r="F75" s="114" t="s">
        <v>82</v>
      </c>
      <c r="G75" s="120">
        <v>36549</v>
      </c>
      <c r="H75" s="114">
        <v>16</v>
      </c>
      <c r="I75" s="114" t="s">
        <v>559</v>
      </c>
      <c r="J75" s="114" t="s">
        <v>560</v>
      </c>
      <c r="K75" s="114" t="s">
        <v>555</v>
      </c>
      <c r="L75" s="114" t="s">
        <v>365</v>
      </c>
      <c r="M75" s="114" t="s">
        <v>261</v>
      </c>
      <c r="N75" s="4"/>
      <c r="O75" s="4"/>
      <c r="P75" s="4"/>
      <c r="Q75" s="4"/>
      <c r="R75" s="4"/>
      <c r="S75" s="4"/>
      <c r="T75" s="4"/>
    </row>
    <row r="76" spans="1:20" ht="15" customHeight="1" thickBot="1">
      <c r="A76" s="133"/>
      <c r="B76" s="133">
        <v>69</v>
      </c>
      <c r="C76" s="114" t="s">
        <v>46</v>
      </c>
      <c r="D76" s="114" t="s">
        <v>561</v>
      </c>
      <c r="E76" s="114" t="s">
        <v>498</v>
      </c>
      <c r="F76" s="114" t="s">
        <v>96</v>
      </c>
      <c r="G76" s="120">
        <v>37832</v>
      </c>
      <c r="H76" s="114">
        <v>12</v>
      </c>
      <c r="I76" s="114" t="s">
        <v>363</v>
      </c>
      <c r="J76" s="114" t="s">
        <v>560</v>
      </c>
      <c r="K76" s="114" t="s">
        <v>562</v>
      </c>
      <c r="L76" s="114" t="s">
        <v>365</v>
      </c>
      <c r="M76" s="114" t="s">
        <v>261</v>
      </c>
      <c r="N76" s="4"/>
      <c r="O76" s="4"/>
      <c r="P76" s="4"/>
      <c r="Q76" s="4"/>
      <c r="R76" s="4"/>
      <c r="S76" s="4"/>
      <c r="T76" s="4"/>
    </row>
    <row r="77" spans="1:20" ht="15" customHeight="1" thickBot="1">
      <c r="A77" s="133"/>
      <c r="B77" s="133">
        <v>70</v>
      </c>
      <c r="C77" s="114" t="s">
        <v>46</v>
      </c>
      <c r="D77" s="114" t="s">
        <v>563</v>
      </c>
      <c r="E77" s="114" t="s">
        <v>498</v>
      </c>
      <c r="F77" s="114" t="s">
        <v>564</v>
      </c>
      <c r="G77" s="120">
        <v>37719</v>
      </c>
      <c r="H77" s="114">
        <v>12</v>
      </c>
      <c r="I77" s="114" t="s">
        <v>374</v>
      </c>
      <c r="J77" s="114" t="s">
        <v>387</v>
      </c>
      <c r="K77" s="114" t="s">
        <v>147</v>
      </c>
      <c r="L77" s="114" t="s">
        <v>365</v>
      </c>
      <c r="M77" s="114" t="s">
        <v>261</v>
      </c>
      <c r="N77" s="4"/>
      <c r="O77" s="4"/>
      <c r="P77" s="4"/>
      <c r="Q77" s="4"/>
      <c r="R77" s="4"/>
      <c r="S77" s="4"/>
      <c r="T77" s="4"/>
    </row>
    <row r="78" spans="1:20" ht="15" customHeight="1" thickBot="1">
      <c r="A78" s="133"/>
      <c r="B78" s="133">
        <v>71</v>
      </c>
      <c r="C78" s="114" t="s">
        <v>38</v>
      </c>
      <c r="D78" s="114" t="s">
        <v>565</v>
      </c>
      <c r="E78" s="114" t="s">
        <v>60</v>
      </c>
      <c r="F78" s="114" t="s">
        <v>87</v>
      </c>
      <c r="G78" s="120">
        <v>37474</v>
      </c>
      <c r="H78" s="114">
        <v>13</v>
      </c>
      <c r="I78" s="114" t="s">
        <v>566</v>
      </c>
      <c r="J78" s="114" t="s">
        <v>567</v>
      </c>
      <c r="K78" s="114" t="s">
        <v>148</v>
      </c>
      <c r="L78" s="114" t="s">
        <v>365</v>
      </c>
      <c r="M78" s="114" t="s">
        <v>263</v>
      </c>
      <c r="N78" s="4"/>
      <c r="O78" s="4"/>
      <c r="P78" s="4"/>
      <c r="Q78" s="4"/>
      <c r="R78" s="4"/>
      <c r="S78" s="4"/>
      <c r="T78" s="4"/>
    </row>
    <row r="79" spans="1:20" ht="15" customHeight="1" thickBot="1">
      <c r="A79" s="133"/>
      <c r="B79" s="133">
        <v>72</v>
      </c>
      <c r="C79" s="114" t="s">
        <v>38</v>
      </c>
      <c r="D79" s="114" t="s">
        <v>568</v>
      </c>
      <c r="E79" s="114" t="s">
        <v>569</v>
      </c>
      <c r="F79" s="114" t="s">
        <v>67</v>
      </c>
      <c r="G79" s="120">
        <v>37937</v>
      </c>
      <c r="H79" s="114">
        <v>12</v>
      </c>
      <c r="I79" s="114" t="s">
        <v>548</v>
      </c>
      <c r="J79" s="114" t="s">
        <v>382</v>
      </c>
      <c r="K79" s="114" t="s">
        <v>147</v>
      </c>
      <c r="L79" s="114" t="s">
        <v>365</v>
      </c>
      <c r="M79" s="114" t="s">
        <v>262</v>
      </c>
      <c r="N79" s="4"/>
      <c r="O79" s="4"/>
      <c r="P79" s="4"/>
      <c r="Q79" s="4"/>
      <c r="R79" s="4"/>
      <c r="S79" s="4"/>
      <c r="T79" s="4"/>
    </row>
    <row r="80" spans="1:20" ht="15" customHeight="1" thickBot="1">
      <c r="A80" s="133"/>
      <c r="B80" s="133">
        <v>73</v>
      </c>
      <c r="C80" s="114" t="s">
        <v>38</v>
      </c>
      <c r="D80" s="114" t="s">
        <v>191</v>
      </c>
      <c r="E80" s="114" t="s">
        <v>48</v>
      </c>
      <c r="F80" s="114" t="s">
        <v>67</v>
      </c>
      <c r="G80" s="120">
        <v>37103</v>
      </c>
      <c r="H80" s="114">
        <v>14</v>
      </c>
      <c r="I80" s="114" t="s">
        <v>548</v>
      </c>
      <c r="J80" s="114" t="s">
        <v>369</v>
      </c>
      <c r="K80" s="114" t="s">
        <v>148</v>
      </c>
      <c r="L80" s="114" t="s">
        <v>365</v>
      </c>
      <c r="M80" s="114" t="s">
        <v>262</v>
      </c>
      <c r="N80" s="4"/>
      <c r="O80" s="4"/>
      <c r="P80" s="4"/>
      <c r="Q80" s="4"/>
      <c r="R80" s="4"/>
      <c r="S80" s="4"/>
      <c r="T80" s="4"/>
    </row>
    <row r="81" spans="1:20" ht="15" customHeight="1" thickBot="1">
      <c r="A81" s="133"/>
      <c r="B81" s="133">
        <v>74</v>
      </c>
      <c r="C81" s="114" t="s">
        <v>38</v>
      </c>
      <c r="D81" s="114" t="s">
        <v>70</v>
      </c>
      <c r="E81" s="114" t="s">
        <v>48</v>
      </c>
      <c r="F81" s="114" t="s">
        <v>71</v>
      </c>
      <c r="G81" s="120">
        <v>36867</v>
      </c>
      <c r="H81" s="114">
        <v>15</v>
      </c>
      <c r="I81" s="114">
        <v>4</v>
      </c>
      <c r="J81" s="114">
        <v>77</v>
      </c>
      <c r="K81" s="114" t="s">
        <v>570</v>
      </c>
      <c r="L81" s="114" t="s">
        <v>393</v>
      </c>
      <c r="M81" s="114" t="s">
        <v>72</v>
      </c>
      <c r="N81" s="4"/>
      <c r="O81" s="4"/>
      <c r="P81" s="4"/>
      <c r="Q81" s="4"/>
      <c r="R81" s="4"/>
      <c r="S81" s="4"/>
      <c r="T81" s="4"/>
    </row>
    <row r="82" spans="1:20" ht="15" customHeight="1" thickBot="1">
      <c r="A82" s="133"/>
      <c r="B82" s="133">
        <v>75</v>
      </c>
      <c r="C82" s="114" t="s">
        <v>38</v>
      </c>
      <c r="D82" s="114" t="s">
        <v>73</v>
      </c>
      <c r="E82" s="114" t="s">
        <v>43</v>
      </c>
      <c r="F82" s="114" t="s">
        <v>74</v>
      </c>
      <c r="G82" s="120">
        <v>36646</v>
      </c>
      <c r="H82" s="114">
        <v>15</v>
      </c>
      <c r="I82" s="114">
        <v>4</v>
      </c>
      <c r="J82" s="114">
        <v>79</v>
      </c>
      <c r="K82" s="114" t="s">
        <v>570</v>
      </c>
      <c r="L82" s="114" t="s">
        <v>393</v>
      </c>
      <c r="M82" s="114" t="s">
        <v>72</v>
      </c>
      <c r="N82" s="4"/>
      <c r="O82" s="4"/>
      <c r="P82" s="4"/>
      <c r="Q82" s="4"/>
      <c r="R82" s="4"/>
      <c r="S82" s="4"/>
      <c r="T82" s="4"/>
    </row>
    <row r="83" spans="1:20" ht="15" customHeight="1" thickBot="1">
      <c r="A83" s="133"/>
      <c r="B83" s="133">
        <v>76</v>
      </c>
      <c r="C83" s="114" t="s">
        <v>38</v>
      </c>
      <c r="D83" s="114" t="s">
        <v>80</v>
      </c>
      <c r="E83" s="114" t="s">
        <v>81</v>
      </c>
      <c r="F83" s="114" t="s">
        <v>82</v>
      </c>
      <c r="G83" s="120">
        <v>37635</v>
      </c>
      <c r="H83" s="114">
        <v>13</v>
      </c>
      <c r="I83" s="114">
        <v>9</v>
      </c>
      <c r="J83" s="114" t="s">
        <v>571</v>
      </c>
      <c r="K83" s="114" t="s">
        <v>572</v>
      </c>
      <c r="L83" s="114" t="s">
        <v>393</v>
      </c>
      <c r="M83" s="114" t="s">
        <v>573</v>
      </c>
      <c r="N83" s="4"/>
      <c r="O83" s="4"/>
      <c r="P83" s="4"/>
      <c r="Q83" s="4"/>
      <c r="R83" s="4"/>
      <c r="S83" s="4"/>
      <c r="T83" s="4"/>
    </row>
    <row r="84" spans="1:20" ht="15" customHeight="1" thickBot="1">
      <c r="A84" s="133"/>
      <c r="B84" s="133">
        <v>77</v>
      </c>
      <c r="C84" s="114" t="s">
        <v>38</v>
      </c>
      <c r="D84" s="114" t="s">
        <v>574</v>
      </c>
      <c r="E84" s="114" t="s">
        <v>89</v>
      </c>
      <c r="F84" s="114" t="s">
        <v>575</v>
      </c>
      <c r="G84" s="120">
        <v>37516</v>
      </c>
      <c r="H84" s="114">
        <v>13</v>
      </c>
      <c r="I84" s="114">
        <v>6</v>
      </c>
      <c r="J84" s="114">
        <v>68</v>
      </c>
      <c r="K84" s="114" t="s">
        <v>576</v>
      </c>
      <c r="L84" s="114" t="s">
        <v>393</v>
      </c>
      <c r="M84" s="114" t="s">
        <v>577</v>
      </c>
      <c r="N84" s="4"/>
      <c r="O84" s="4"/>
      <c r="P84" s="4"/>
      <c r="Q84" s="4"/>
      <c r="R84" s="4"/>
      <c r="S84" s="4"/>
      <c r="T84" s="4"/>
    </row>
    <row r="85" spans="1:20" ht="15" customHeight="1" thickBot="1">
      <c r="A85" s="133"/>
      <c r="B85" s="133">
        <v>78</v>
      </c>
      <c r="C85" s="114" t="s">
        <v>38</v>
      </c>
      <c r="D85" s="114" t="s">
        <v>578</v>
      </c>
      <c r="E85" s="114" t="s">
        <v>210</v>
      </c>
      <c r="F85" s="114" t="s">
        <v>579</v>
      </c>
      <c r="G85" s="120"/>
      <c r="H85" s="114">
        <v>23</v>
      </c>
      <c r="I85" s="114">
        <v>6</v>
      </c>
      <c r="J85" s="114">
        <v>74</v>
      </c>
      <c r="K85" s="114" t="s">
        <v>580</v>
      </c>
      <c r="L85" s="114" t="s">
        <v>393</v>
      </c>
      <c r="M85" s="114" t="s">
        <v>481</v>
      </c>
      <c r="N85" s="4"/>
      <c r="O85" s="4"/>
      <c r="P85" s="4"/>
      <c r="Q85" s="4"/>
      <c r="R85" s="4"/>
      <c r="S85" s="4"/>
      <c r="T85" s="4"/>
    </row>
    <row r="86" spans="1:20" ht="15" customHeight="1" thickBot="1">
      <c r="A86" s="133"/>
      <c r="B86" s="133">
        <v>79</v>
      </c>
      <c r="C86" s="114" t="s">
        <v>38</v>
      </c>
      <c r="D86" s="114" t="s">
        <v>581</v>
      </c>
      <c r="E86" s="114" t="s">
        <v>42</v>
      </c>
      <c r="F86" s="114" t="s">
        <v>78</v>
      </c>
      <c r="G86" s="120">
        <v>32953</v>
      </c>
      <c r="H86" s="114">
        <v>26</v>
      </c>
      <c r="I86" s="114">
        <v>10</v>
      </c>
      <c r="J86" s="114">
        <v>69</v>
      </c>
      <c r="K86" s="114" t="s">
        <v>58</v>
      </c>
      <c r="L86" s="114" t="s">
        <v>393</v>
      </c>
      <c r="M86" s="114" t="s">
        <v>402</v>
      </c>
      <c r="N86" s="4"/>
      <c r="O86" s="4"/>
      <c r="P86" s="4"/>
      <c r="Q86" s="4"/>
      <c r="R86" s="4"/>
      <c r="S86" s="4"/>
      <c r="T86" s="4"/>
    </row>
    <row r="87" spans="1:20" ht="15" customHeight="1" thickBot="1">
      <c r="A87" s="133"/>
      <c r="B87" s="133">
        <v>80</v>
      </c>
      <c r="C87" s="114" t="s">
        <v>38</v>
      </c>
      <c r="D87" s="114" t="s">
        <v>582</v>
      </c>
      <c r="E87" s="114" t="s">
        <v>583</v>
      </c>
      <c r="F87" s="114" t="s">
        <v>54</v>
      </c>
      <c r="G87" s="120">
        <v>30803</v>
      </c>
      <c r="H87" s="114">
        <v>30</v>
      </c>
      <c r="I87" s="114">
        <v>10</v>
      </c>
      <c r="J87" s="114">
        <v>70</v>
      </c>
      <c r="K87" s="114" t="s">
        <v>58</v>
      </c>
      <c r="L87" s="114" t="s">
        <v>393</v>
      </c>
      <c r="M87" s="114" t="s">
        <v>402</v>
      </c>
      <c r="N87" s="4"/>
      <c r="O87" s="4"/>
      <c r="P87" s="4"/>
      <c r="Q87" s="4"/>
      <c r="R87" s="4"/>
      <c r="S87" s="4"/>
      <c r="T87" s="4"/>
    </row>
    <row r="88" spans="1:20" ht="15" customHeight="1" thickBot="1">
      <c r="A88" s="133"/>
      <c r="B88" s="133">
        <v>81</v>
      </c>
      <c r="C88" s="114" t="s">
        <v>38</v>
      </c>
      <c r="D88" s="114" t="s">
        <v>238</v>
      </c>
      <c r="E88" s="114" t="s">
        <v>183</v>
      </c>
      <c r="F88" s="114" t="s">
        <v>176</v>
      </c>
      <c r="G88" s="120" t="s">
        <v>584</v>
      </c>
      <c r="H88" s="114">
        <v>14</v>
      </c>
      <c r="I88" s="114">
        <v>10</v>
      </c>
      <c r="J88" s="114">
        <v>74</v>
      </c>
      <c r="K88" s="114" t="s">
        <v>58</v>
      </c>
      <c r="L88" s="114" t="s">
        <v>393</v>
      </c>
      <c r="M88" s="114" t="s">
        <v>265</v>
      </c>
      <c r="N88" s="4"/>
      <c r="O88" s="4"/>
      <c r="P88" s="4"/>
      <c r="Q88" s="4"/>
      <c r="R88" s="4"/>
      <c r="S88" s="4"/>
      <c r="T88" s="4"/>
    </row>
    <row r="89" spans="1:20" ht="15" customHeight="1" thickBot="1">
      <c r="A89" s="133"/>
      <c r="B89" s="133">
        <v>82</v>
      </c>
      <c r="C89" s="114" t="s">
        <v>38</v>
      </c>
      <c r="D89" s="114" t="s">
        <v>235</v>
      </c>
      <c r="E89" s="114" t="s">
        <v>43</v>
      </c>
      <c r="F89" s="114" t="s">
        <v>67</v>
      </c>
      <c r="G89" s="120">
        <v>37488</v>
      </c>
      <c r="H89" s="114">
        <v>13</v>
      </c>
      <c r="I89" s="114">
        <v>6</v>
      </c>
      <c r="J89" s="114">
        <v>52</v>
      </c>
      <c r="K89" s="114" t="s">
        <v>58</v>
      </c>
      <c r="L89" s="114" t="s">
        <v>393</v>
      </c>
      <c r="M89" s="114" t="s">
        <v>402</v>
      </c>
      <c r="N89" s="4"/>
      <c r="O89" s="4"/>
      <c r="P89" s="4"/>
      <c r="Q89" s="4"/>
      <c r="R89" s="4"/>
      <c r="S89" s="4"/>
      <c r="T89" s="4"/>
    </row>
    <row r="90" spans="1:20" ht="15" customHeight="1" thickBot="1">
      <c r="A90" s="133"/>
      <c r="B90" s="133">
        <v>83</v>
      </c>
      <c r="C90" s="114" t="s">
        <v>38</v>
      </c>
      <c r="D90" s="114" t="s">
        <v>585</v>
      </c>
      <c r="E90" s="114" t="s">
        <v>125</v>
      </c>
      <c r="F90" s="114" t="s">
        <v>164</v>
      </c>
      <c r="G90" s="120">
        <v>37349</v>
      </c>
      <c r="H90" s="114">
        <v>13</v>
      </c>
      <c r="I90" s="114">
        <v>9</v>
      </c>
      <c r="J90" s="114">
        <v>61.2</v>
      </c>
      <c r="K90" s="114" t="s">
        <v>58</v>
      </c>
      <c r="L90" s="114" t="s">
        <v>393</v>
      </c>
      <c r="M90" s="114" t="s">
        <v>402</v>
      </c>
      <c r="N90" s="4"/>
      <c r="O90" s="4"/>
      <c r="P90" s="4"/>
      <c r="Q90" s="4"/>
      <c r="R90" s="4"/>
      <c r="S90" s="4"/>
      <c r="T90" s="4"/>
    </row>
    <row r="91" spans="1:20" ht="15" customHeight="1" thickBot="1">
      <c r="A91" s="133"/>
      <c r="B91" s="133">
        <v>84</v>
      </c>
      <c r="C91" s="114" t="s">
        <v>38</v>
      </c>
      <c r="D91" s="114" t="s">
        <v>586</v>
      </c>
      <c r="E91" s="114" t="s">
        <v>48</v>
      </c>
      <c r="F91" s="114" t="s">
        <v>82</v>
      </c>
      <c r="G91" s="120">
        <v>38057</v>
      </c>
      <c r="H91" s="114">
        <v>12</v>
      </c>
      <c r="I91" s="114">
        <v>6</v>
      </c>
      <c r="J91" s="114">
        <v>39.799999999999997</v>
      </c>
      <c r="K91" s="114" t="s">
        <v>58</v>
      </c>
      <c r="L91" s="114" t="s">
        <v>409</v>
      </c>
      <c r="M91" s="114" t="s">
        <v>150</v>
      </c>
      <c r="N91" s="4"/>
      <c r="O91" s="4"/>
      <c r="P91" s="4"/>
      <c r="Q91" s="4"/>
      <c r="R91" s="4"/>
      <c r="S91" s="4"/>
      <c r="T91" s="4"/>
    </row>
    <row r="92" spans="1:20" ht="15" customHeight="1" thickBot="1">
      <c r="A92" s="133"/>
      <c r="B92" s="133">
        <v>85</v>
      </c>
      <c r="C92" s="114" t="s">
        <v>38</v>
      </c>
      <c r="D92" s="114" t="s">
        <v>587</v>
      </c>
      <c r="E92" s="114" t="s">
        <v>177</v>
      </c>
      <c r="F92" s="114" t="s">
        <v>141</v>
      </c>
      <c r="G92" s="120">
        <v>37915</v>
      </c>
      <c r="H92" s="114">
        <v>12</v>
      </c>
      <c r="I92" s="114">
        <v>6</v>
      </c>
      <c r="J92" s="114">
        <v>39.799999999999997</v>
      </c>
      <c r="K92" s="114" t="s">
        <v>58</v>
      </c>
      <c r="L92" s="114" t="s">
        <v>409</v>
      </c>
      <c r="M92" s="114" t="s">
        <v>150</v>
      </c>
      <c r="N92" s="4"/>
      <c r="O92" s="4"/>
      <c r="P92" s="4"/>
      <c r="Q92" s="4"/>
      <c r="R92" s="4"/>
      <c r="S92" s="4"/>
      <c r="T92" s="4"/>
    </row>
    <row r="93" spans="1:20" ht="15" customHeight="1" thickBot="1">
      <c r="A93" s="133"/>
      <c r="B93" s="133">
        <v>86</v>
      </c>
      <c r="C93" s="114" t="s">
        <v>38</v>
      </c>
      <c r="D93" s="114" t="s">
        <v>471</v>
      </c>
      <c r="E93" s="114" t="s">
        <v>42</v>
      </c>
      <c r="F93" s="114" t="s">
        <v>54</v>
      </c>
      <c r="G93" s="120">
        <v>37315</v>
      </c>
      <c r="H93" s="114">
        <v>14</v>
      </c>
      <c r="I93" s="114">
        <v>6</v>
      </c>
      <c r="J93" s="114">
        <v>82</v>
      </c>
      <c r="K93" s="114" t="s">
        <v>58</v>
      </c>
      <c r="L93" s="114" t="s">
        <v>409</v>
      </c>
      <c r="M93" s="114" t="s">
        <v>150</v>
      </c>
      <c r="N93" s="4"/>
      <c r="O93" s="4"/>
      <c r="P93" s="4"/>
      <c r="Q93" s="4"/>
      <c r="R93" s="4"/>
      <c r="S93" s="4"/>
      <c r="T93" s="4"/>
    </row>
    <row r="94" spans="1:20" ht="15" customHeight="1" thickBot="1">
      <c r="A94" s="133"/>
      <c r="B94" s="133">
        <v>87</v>
      </c>
      <c r="C94" s="114" t="s">
        <v>38</v>
      </c>
      <c r="D94" s="114" t="s">
        <v>588</v>
      </c>
      <c r="E94" s="114" t="s">
        <v>68</v>
      </c>
      <c r="F94" s="114" t="s">
        <v>78</v>
      </c>
      <c r="G94" s="120">
        <v>36343</v>
      </c>
      <c r="H94" s="114">
        <v>16</v>
      </c>
      <c r="I94" s="114">
        <v>2</v>
      </c>
      <c r="J94" s="114">
        <v>69.8</v>
      </c>
      <c r="K94" s="114" t="s">
        <v>58</v>
      </c>
      <c r="L94" s="114" t="s">
        <v>409</v>
      </c>
      <c r="M94" s="114" t="s">
        <v>153</v>
      </c>
      <c r="N94" s="4"/>
      <c r="O94" s="4"/>
      <c r="P94" s="4"/>
      <c r="Q94" s="4"/>
      <c r="R94" s="4"/>
      <c r="S94" s="4"/>
      <c r="T94" s="4"/>
    </row>
    <row r="95" spans="1:20" ht="15" customHeight="1" thickBot="1">
      <c r="A95" s="133"/>
      <c r="B95" s="133">
        <v>88</v>
      </c>
      <c r="C95" s="114" t="s">
        <v>46</v>
      </c>
      <c r="D95" s="114" t="s">
        <v>98</v>
      </c>
      <c r="E95" s="114" t="s">
        <v>99</v>
      </c>
      <c r="F95" s="114" t="s">
        <v>100</v>
      </c>
      <c r="G95" s="120" t="s">
        <v>108</v>
      </c>
      <c r="H95" s="114" t="s">
        <v>589</v>
      </c>
      <c r="I95" s="114" t="s">
        <v>590</v>
      </c>
      <c r="J95" s="114" t="s">
        <v>591</v>
      </c>
      <c r="K95" s="114" t="s">
        <v>592</v>
      </c>
      <c r="L95" s="114" t="s">
        <v>416</v>
      </c>
      <c r="M95" s="114" t="s">
        <v>417</v>
      </c>
      <c r="N95" s="4"/>
      <c r="O95" s="4"/>
      <c r="P95" s="4"/>
      <c r="Q95" s="4"/>
      <c r="R95" s="4"/>
      <c r="S95" s="4"/>
      <c r="T95" s="4"/>
    </row>
    <row r="96" spans="1:20" ht="15" customHeight="1" thickBot="1">
      <c r="A96" s="133"/>
      <c r="B96" s="133">
        <v>89</v>
      </c>
      <c r="C96" s="114" t="s">
        <v>38</v>
      </c>
      <c r="D96" s="114" t="s">
        <v>593</v>
      </c>
      <c r="E96" s="114" t="s">
        <v>594</v>
      </c>
      <c r="F96" s="114" t="s">
        <v>445</v>
      </c>
      <c r="G96" s="120" t="s">
        <v>595</v>
      </c>
      <c r="H96" s="114">
        <v>13</v>
      </c>
      <c r="I96" s="114"/>
      <c r="J96" s="114">
        <v>54</v>
      </c>
      <c r="K96" s="114" t="s">
        <v>58</v>
      </c>
      <c r="L96" s="114" t="s">
        <v>431</v>
      </c>
      <c r="M96" s="114" t="s">
        <v>268</v>
      </c>
      <c r="N96" s="4"/>
      <c r="O96" s="4"/>
      <c r="P96" s="4"/>
      <c r="Q96" s="4"/>
      <c r="R96" s="4"/>
      <c r="S96" s="4"/>
      <c r="T96" s="4"/>
    </row>
    <row r="97" spans="1:20" ht="15" customHeight="1" thickBot="1">
      <c r="A97" s="133"/>
      <c r="B97" s="133">
        <v>90</v>
      </c>
      <c r="C97" s="114" t="s">
        <v>38</v>
      </c>
      <c r="D97" s="114" t="s">
        <v>596</v>
      </c>
      <c r="E97" s="114" t="s">
        <v>597</v>
      </c>
      <c r="F97" s="114" t="s">
        <v>78</v>
      </c>
      <c r="G97" s="120" t="s">
        <v>598</v>
      </c>
      <c r="H97" s="114">
        <v>13</v>
      </c>
      <c r="I97" s="114"/>
      <c r="J97" s="114">
        <v>58</v>
      </c>
      <c r="K97" s="114" t="s">
        <v>58</v>
      </c>
      <c r="L97" s="114" t="s">
        <v>431</v>
      </c>
      <c r="M97" s="114" t="s">
        <v>268</v>
      </c>
      <c r="N97" s="4"/>
      <c r="O97" s="4"/>
      <c r="P97" s="4"/>
      <c r="Q97" s="4"/>
      <c r="R97" s="4"/>
      <c r="S97" s="4"/>
      <c r="T97" s="4"/>
    </row>
    <row r="98" spans="1:20" ht="15" customHeight="1" thickBot="1">
      <c r="A98" s="133"/>
      <c r="B98" s="133">
        <v>91</v>
      </c>
      <c r="C98" s="114" t="s">
        <v>38</v>
      </c>
      <c r="D98" s="114" t="s">
        <v>599</v>
      </c>
      <c r="E98" s="114" t="s">
        <v>600</v>
      </c>
      <c r="F98" s="114" t="s">
        <v>113</v>
      </c>
      <c r="G98" s="120" t="s">
        <v>601</v>
      </c>
      <c r="H98" s="114">
        <v>15</v>
      </c>
      <c r="I98" s="114"/>
      <c r="J98" s="114">
        <v>60</v>
      </c>
      <c r="K98" s="114" t="s">
        <v>58</v>
      </c>
      <c r="L98" s="114" t="s">
        <v>431</v>
      </c>
      <c r="M98" s="114" t="s">
        <v>268</v>
      </c>
      <c r="N98" s="4"/>
      <c r="O98" s="4"/>
      <c r="P98" s="4"/>
      <c r="Q98" s="4"/>
      <c r="R98" s="4"/>
      <c r="S98" s="4"/>
      <c r="T98" s="4"/>
    </row>
    <row r="99" spans="1:20" ht="15" customHeight="1" thickBot="1">
      <c r="A99" s="133"/>
      <c r="B99" s="133">
        <v>92</v>
      </c>
      <c r="C99" s="114" t="s">
        <v>38</v>
      </c>
      <c r="D99" s="114" t="s">
        <v>602</v>
      </c>
      <c r="E99" s="114" t="s">
        <v>603</v>
      </c>
      <c r="F99" s="114" t="s">
        <v>604</v>
      </c>
      <c r="G99" s="120" t="s">
        <v>605</v>
      </c>
      <c r="H99" s="114">
        <v>14</v>
      </c>
      <c r="I99" s="114"/>
      <c r="J99" s="114">
        <v>47</v>
      </c>
      <c r="K99" s="114" t="s">
        <v>58</v>
      </c>
      <c r="L99" s="114" t="s">
        <v>431</v>
      </c>
      <c r="M99" s="114" t="s">
        <v>268</v>
      </c>
      <c r="N99" s="4"/>
      <c r="O99" s="4"/>
      <c r="P99" s="4"/>
      <c r="Q99" s="4"/>
      <c r="R99" s="4"/>
      <c r="S99" s="4"/>
      <c r="T99" s="4"/>
    </row>
    <row r="100" spans="1:20" ht="15" customHeight="1" thickBot="1">
      <c r="A100" s="133"/>
      <c r="B100" s="133">
        <v>93</v>
      </c>
      <c r="C100" s="114" t="s">
        <v>38</v>
      </c>
      <c r="D100" s="114" t="s">
        <v>606</v>
      </c>
      <c r="E100" s="114" t="s">
        <v>210</v>
      </c>
      <c r="F100" s="114" t="s">
        <v>78</v>
      </c>
      <c r="G100" s="120" t="s">
        <v>607</v>
      </c>
      <c r="H100" s="114">
        <v>12</v>
      </c>
      <c r="I100" s="114"/>
      <c r="J100" s="114">
        <v>39</v>
      </c>
      <c r="K100" s="114" t="s">
        <v>58</v>
      </c>
      <c r="L100" s="114" t="s">
        <v>431</v>
      </c>
      <c r="M100" s="114" t="s">
        <v>268</v>
      </c>
      <c r="N100" s="4"/>
      <c r="O100" s="4"/>
      <c r="P100" s="4"/>
      <c r="Q100" s="4"/>
      <c r="R100" s="4"/>
      <c r="S100" s="4"/>
      <c r="T100" s="4"/>
    </row>
    <row r="101" spans="1:20" ht="15" customHeight="1" thickBot="1">
      <c r="A101" s="133"/>
      <c r="B101" s="133">
        <v>94</v>
      </c>
      <c r="C101" s="114" t="s">
        <v>38</v>
      </c>
      <c r="D101" s="114" t="s">
        <v>608</v>
      </c>
      <c r="E101" s="114" t="s">
        <v>609</v>
      </c>
      <c r="F101" s="114" t="s">
        <v>54</v>
      </c>
      <c r="G101" s="120" t="s">
        <v>610</v>
      </c>
      <c r="H101" s="114">
        <v>12</v>
      </c>
      <c r="I101" s="114"/>
      <c r="J101" s="114">
        <v>55</v>
      </c>
      <c r="K101" s="114" t="s">
        <v>58</v>
      </c>
      <c r="L101" s="114" t="s">
        <v>431</v>
      </c>
      <c r="M101" s="114" t="s">
        <v>268</v>
      </c>
      <c r="N101" s="4"/>
      <c r="O101" s="4"/>
      <c r="P101" s="4"/>
      <c r="Q101" s="4"/>
      <c r="R101" s="4"/>
      <c r="S101" s="4"/>
      <c r="T101" s="4"/>
    </row>
    <row r="102" spans="1:20" ht="15" customHeight="1" thickBot="1">
      <c r="A102" s="133"/>
      <c r="B102" s="133">
        <v>95</v>
      </c>
      <c r="C102" s="114" t="s">
        <v>38</v>
      </c>
      <c r="D102" s="114" t="s">
        <v>611</v>
      </c>
      <c r="E102" s="114" t="s">
        <v>612</v>
      </c>
      <c r="F102" s="114" t="s">
        <v>67</v>
      </c>
      <c r="G102" s="120" t="s">
        <v>613</v>
      </c>
      <c r="H102" s="114">
        <v>14</v>
      </c>
      <c r="I102" s="114"/>
      <c r="J102" s="114">
        <v>59</v>
      </c>
      <c r="K102" s="114" t="s">
        <v>58</v>
      </c>
      <c r="L102" s="114" t="s">
        <v>431</v>
      </c>
      <c r="M102" s="114" t="s">
        <v>269</v>
      </c>
      <c r="N102" s="4"/>
      <c r="O102" s="4"/>
      <c r="P102" s="4"/>
      <c r="Q102" s="4"/>
      <c r="R102" s="4"/>
      <c r="S102" s="4"/>
      <c r="T102" s="4"/>
    </row>
    <row r="103" spans="1:20" ht="15" customHeight="1" thickBot="1">
      <c r="A103" s="133"/>
      <c r="B103" s="133">
        <v>96</v>
      </c>
      <c r="C103" s="114" t="s">
        <v>38</v>
      </c>
      <c r="D103" s="114" t="s">
        <v>614</v>
      </c>
      <c r="E103" s="114" t="s">
        <v>441</v>
      </c>
      <c r="F103" s="114" t="s">
        <v>194</v>
      </c>
      <c r="G103" s="120" t="s">
        <v>615</v>
      </c>
      <c r="H103" s="114">
        <v>13</v>
      </c>
      <c r="I103" s="114"/>
      <c r="J103" s="114">
        <v>64</v>
      </c>
      <c r="K103" s="114" t="s">
        <v>58</v>
      </c>
      <c r="L103" s="114" t="s">
        <v>431</v>
      </c>
      <c r="M103" s="114" t="s">
        <v>269</v>
      </c>
      <c r="N103" s="4"/>
      <c r="O103" s="4"/>
      <c r="P103" s="4"/>
      <c r="Q103" s="4"/>
      <c r="R103" s="4"/>
      <c r="S103" s="4"/>
      <c r="T103" s="4"/>
    </row>
    <row r="104" spans="1:20" ht="15" customHeight="1" thickBot="1">
      <c r="A104" s="133"/>
      <c r="B104" s="133">
        <v>97</v>
      </c>
      <c r="C104" s="114" t="s">
        <v>38</v>
      </c>
      <c r="D104" s="114" t="s">
        <v>616</v>
      </c>
      <c r="E104" s="114" t="s">
        <v>429</v>
      </c>
      <c r="F104" s="114" t="s">
        <v>149</v>
      </c>
      <c r="G104" s="120" t="s">
        <v>617</v>
      </c>
      <c r="H104" s="114">
        <v>14</v>
      </c>
      <c r="I104" s="114"/>
      <c r="J104" s="114">
        <v>69</v>
      </c>
      <c r="K104" s="114" t="s">
        <v>58</v>
      </c>
      <c r="L104" s="114" t="s">
        <v>431</v>
      </c>
      <c r="M104" s="114" t="s">
        <v>269</v>
      </c>
      <c r="N104" s="4"/>
      <c r="O104" s="4"/>
      <c r="P104" s="4"/>
      <c r="Q104" s="4"/>
      <c r="R104" s="4"/>
      <c r="S104" s="4"/>
      <c r="T104" s="4"/>
    </row>
    <row r="105" spans="1:20" ht="15" customHeight="1" thickBot="1">
      <c r="A105" s="133"/>
      <c r="B105" s="133">
        <v>98</v>
      </c>
      <c r="C105" s="114" t="s">
        <v>46</v>
      </c>
      <c r="D105" s="114" t="s">
        <v>618</v>
      </c>
      <c r="E105" s="114" t="s">
        <v>331</v>
      </c>
      <c r="F105" s="114" t="s">
        <v>453</v>
      </c>
      <c r="G105" s="120" t="s">
        <v>619</v>
      </c>
      <c r="H105" s="114">
        <v>12</v>
      </c>
      <c r="I105" s="114"/>
      <c r="J105" s="114" t="s">
        <v>620</v>
      </c>
      <c r="K105" s="114" t="s">
        <v>58</v>
      </c>
      <c r="L105" s="114" t="s">
        <v>431</v>
      </c>
      <c r="M105" s="114" t="s">
        <v>269</v>
      </c>
      <c r="N105" s="4"/>
      <c r="O105" s="4"/>
      <c r="P105" s="4"/>
      <c r="Q105" s="4"/>
      <c r="R105" s="4"/>
      <c r="S105" s="4"/>
      <c r="T105" s="4"/>
    </row>
    <row r="106" spans="1:20" ht="15" customHeight="1" thickBot="1">
      <c r="A106" s="133"/>
      <c r="B106" s="133">
        <v>99</v>
      </c>
      <c r="C106" s="114" t="s">
        <v>46</v>
      </c>
      <c r="D106" s="114" t="s">
        <v>621</v>
      </c>
      <c r="E106" s="114" t="s">
        <v>160</v>
      </c>
      <c r="F106" s="114" t="s">
        <v>622</v>
      </c>
      <c r="G106" s="120" t="s">
        <v>623</v>
      </c>
      <c r="H106" s="114">
        <v>12</v>
      </c>
      <c r="I106" s="114"/>
      <c r="J106" s="114" t="s">
        <v>624</v>
      </c>
      <c r="K106" s="114" t="s">
        <v>58</v>
      </c>
      <c r="L106" s="114" t="s">
        <v>431</v>
      </c>
      <c r="M106" s="114" t="s">
        <v>269</v>
      </c>
      <c r="N106" s="4"/>
      <c r="O106" s="4"/>
      <c r="P106" s="4"/>
      <c r="Q106" s="4"/>
      <c r="R106" s="4"/>
      <c r="S106" s="4"/>
      <c r="T106" s="4"/>
    </row>
    <row r="107" spans="1:20" ht="15" customHeight="1" thickBot="1">
      <c r="A107" s="133"/>
      <c r="B107" s="133">
        <v>100</v>
      </c>
      <c r="C107" s="114" t="s">
        <v>46</v>
      </c>
      <c r="D107" s="114" t="s">
        <v>625</v>
      </c>
      <c r="E107" s="114" t="s">
        <v>626</v>
      </c>
      <c r="F107" s="114" t="s">
        <v>627</v>
      </c>
      <c r="G107" s="120" t="s">
        <v>628</v>
      </c>
      <c r="H107" s="114">
        <v>13</v>
      </c>
      <c r="I107" s="114"/>
      <c r="J107" s="114" t="s">
        <v>629</v>
      </c>
      <c r="K107" s="114" t="s">
        <v>58</v>
      </c>
      <c r="L107" s="114" t="s">
        <v>431</v>
      </c>
      <c r="M107" s="114" t="s">
        <v>269</v>
      </c>
      <c r="N107" s="4"/>
      <c r="O107" s="4"/>
      <c r="P107" s="4"/>
      <c r="Q107" s="4"/>
      <c r="R107" s="4"/>
      <c r="S107" s="4"/>
      <c r="T107" s="4"/>
    </row>
    <row r="108" spans="1:20" ht="15" customHeight="1" thickBot="1">
      <c r="A108" s="133"/>
      <c r="B108" s="133">
        <v>101</v>
      </c>
      <c r="C108" s="114" t="s">
        <v>46</v>
      </c>
      <c r="D108" s="114" t="s">
        <v>630</v>
      </c>
      <c r="E108" s="114" t="s">
        <v>631</v>
      </c>
      <c r="F108" s="114" t="s">
        <v>632</v>
      </c>
      <c r="G108" s="120" t="s">
        <v>633</v>
      </c>
      <c r="H108" s="114">
        <v>16</v>
      </c>
      <c r="I108" s="114"/>
      <c r="J108" s="114" t="s">
        <v>634</v>
      </c>
      <c r="K108" s="114" t="s">
        <v>58</v>
      </c>
      <c r="L108" s="114" t="s">
        <v>431</v>
      </c>
      <c r="M108" s="114" t="s">
        <v>269</v>
      </c>
      <c r="N108" s="4"/>
      <c r="O108" s="4"/>
      <c r="P108" s="4"/>
      <c r="Q108" s="4"/>
      <c r="R108" s="4"/>
      <c r="S108" s="4"/>
      <c r="T108" s="4"/>
    </row>
    <row r="109" spans="1:20" ht="15" customHeight="1" thickBot="1">
      <c r="A109" s="133"/>
      <c r="B109" s="133">
        <v>102</v>
      </c>
      <c r="C109" s="114" t="s">
        <v>46</v>
      </c>
      <c r="D109" s="114" t="s">
        <v>635</v>
      </c>
      <c r="E109" s="114" t="s">
        <v>636</v>
      </c>
      <c r="F109" s="114" t="s">
        <v>637</v>
      </c>
      <c r="G109" s="120">
        <v>35932</v>
      </c>
      <c r="H109" s="114">
        <v>17</v>
      </c>
      <c r="I109" s="114">
        <v>3</v>
      </c>
      <c r="J109" s="114">
        <v>45</v>
      </c>
      <c r="K109" s="114" t="s">
        <v>58</v>
      </c>
      <c r="L109" s="114" t="s">
        <v>459</v>
      </c>
      <c r="M109" s="114" t="s">
        <v>270</v>
      </c>
      <c r="N109" s="4"/>
      <c r="O109" s="4"/>
      <c r="P109" s="4"/>
      <c r="Q109" s="4"/>
      <c r="R109" s="4"/>
      <c r="S109" s="4"/>
      <c r="T109" s="4"/>
    </row>
    <row r="110" spans="1:20" ht="15" customHeight="1" thickBot="1">
      <c r="A110" s="133"/>
      <c r="B110" s="133">
        <v>103</v>
      </c>
      <c r="C110" s="114" t="s">
        <v>46</v>
      </c>
      <c r="D110" s="114" t="s">
        <v>638</v>
      </c>
      <c r="E110" s="114" t="s">
        <v>639</v>
      </c>
      <c r="F110" s="114" t="s">
        <v>56</v>
      </c>
      <c r="G110" s="120">
        <v>36257</v>
      </c>
      <c r="H110" s="114">
        <v>16</v>
      </c>
      <c r="I110" s="114">
        <v>6</v>
      </c>
      <c r="J110" s="114">
        <v>54</v>
      </c>
      <c r="K110" s="114" t="s">
        <v>58</v>
      </c>
      <c r="L110" s="114" t="s">
        <v>459</v>
      </c>
      <c r="M110" s="114" t="s">
        <v>270</v>
      </c>
      <c r="N110" s="4"/>
      <c r="O110" s="4"/>
      <c r="P110" s="4"/>
      <c r="Q110" s="4"/>
      <c r="R110" s="4"/>
      <c r="S110" s="4"/>
      <c r="T110" s="4"/>
    </row>
    <row r="111" spans="1:20" ht="15" customHeight="1" thickBot="1">
      <c r="A111" s="133"/>
      <c r="B111" s="133">
        <v>104</v>
      </c>
      <c r="C111" s="114" t="s">
        <v>38</v>
      </c>
      <c r="D111" s="114" t="s">
        <v>640</v>
      </c>
      <c r="E111" s="114" t="s">
        <v>231</v>
      </c>
      <c r="F111" s="114" t="s">
        <v>161</v>
      </c>
      <c r="G111" s="120">
        <v>37387</v>
      </c>
      <c r="H111" s="114">
        <v>13</v>
      </c>
      <c r="I111" s="114">
        <v>8</v>
      </c>
      <c r="J111" s="114">
        <v>54</v>
      </c>
      <c r="K111" s="114" t="s">
        <v>58</v>
      </c>
      <c r="L111" s="114" t="s">
        <v>459</v>
      </c>
      <c r="M111" s="114" t="s">
        <v>270</v>
      </c>
      <c r="N111" s="4"/>
      <c r="O111" s="4"/>
      <c r="P111" s="4"/>
      <c r="Q111" s="4"/>
      <c r="R111" s="4"/>
      <c r="S111" s="4"/>
      <c r="T111" s="4"/>
    </row>
    <row r="112" spans="1:20" ht="15" customHeight="1" thickBot="1">
      <c r="A112" s="133"/>
      <c r="B112" s="133">
        <v>105</v>
      </c>
      <c r="C112" s="114" t="s">
        <v>38</v>
      </c>
      <c r="D112" s="114" t="s">
        <v>641</v>
      </c>
      <c r="E112" s="114" t="s">
        <v>61</v>
      </c>
      <c r="F112" s="114" t="s">
        <v>63</v>
      </c>
      <c r="G112" s="120">
        <v>38030</v>
      </c>
      <c r="H112" s="114">
        <v>12</v>
      </c>
      <c r="I112" s="114">
        <v>9</v>
      </c>
      <c r="J112" s="114">
        <v>49</v>
      </c>
      <c r="K112" s="114" t="s">
        <v>58</v>
      </c>
      <c r="L112" s="114" t="s">
        <v>459</v>
      </c>
      <c r="M112" s="114" t="s">
        <v>270</v>
      </c>
      <c r="N112" s="4"/>
      <c r="O112" s="4"/>
      <c r="P112" s="4"/>
      <c r="Q112" s="4"/>
      <c r="R112" s="4"/>
      <c r="S112" s="4"/>
      <c r="T112" s="4"/>
    </row>
    <row r="113" spans="1:20" ht="15" customHeight="1" thickBot="1">
      <c r="A113" s="133"/>
      <c r="B113" s="133">
        <v>106</v>
      </c>
      <c r="C113" s="114" t="s">
        <v>38</v>
      </c>
      <c r="D113" s="114" t="s">
        <v>642</v>
      </c>
      <c r="E113" s="114" t="s">
        <v>124</v>
      </c>
      <c r="F113" s="114" t="s">
        <v>152</v>
      </c>
      <c r="G113" s="120">
        <v>38016</v>
      </c>
      <c r="H113" s="114">
        <v>12</v>
      </c>
      <c r="I113" s="114">
        <v>9</v>
      </c>
      <c r="J113" s="114">
        <v>38</v>
      </c>
      <c r="K113" s="114" t="s">
        <v>58</v>
      </c>
      <c r="L113" s="114" t="s">
        <v>459</v>
      </c>
      <c r="M113" s="114" t="s">
        <v>270</v>
      </c>
      <c r="N113" s="4"/>
      <c r="O113" s="4"/>
      <c r="P113" s="4"/>
      <c r="Q113" s="4"/>
      <c r="R113" s="4"/>
      <c r="S113" s="4"/>
      <c r="T113" s="4"/>
    </row>
    <row r="114" spans="1:20" ht="15" customHeight="1" thickBot="1">
      <c r="A114" s="133"/>
      <c r="B114" s="133">
        <v>107</v>
      </c>
      <c r="C114" s="114" t="s">
        <v>38</v>
      </c>
      <c r="D114" s="114" t="s">
        <v>643</v>
      </c>
      <c r="E114" s="114" t="s">
        <v>644</v>
      </c>
      <c r="F114" s="114" t="s">
        <v>74</v>
      </c>
      <c r="G114" s="120">
        <v>37762</v>
      </c>
      <c r="H114" s="114">
        <v>12</v>
      </c>
      <c r="I114" s="114">
        <v>9</v>
      </c>
      <c r="J114" s="114">
        <v>44.5</v>
      </c>
      <c r="K114" s="114" t="s">
        <v>58</v>
      </c>
      <c r="L114" s="114" t="s">
        <v>459</v>
      </c>
      <c r="M114" s="114" t="s">
        <v>270</v>
      </c>
      <c r="N114" s="4"/>
      <c r="O114" s="4"/>
      <c r="P114" s="4"/>
      <c r="Q114" s="4"/>
      <c r="R114" s="4"/>
      <c r="S114" s="4"/>
      <c r="T114" s="4"/>
    </row>
    <row r="115" spans="1:20" ht="15" customHeight="1" thickBot="1">
      <c r="A115" s="133"/>
      <c r="B115" s="133">
        <v>108</v>
      </c>
      <c r="C115" s="114" t="s">
        <v>46</v>
      </c>
      <c r="D115" s="114" t="s">
        <v>645</v>
      </c>
      <c r="E115" s="114" t="s">
        <v>112</v>
      </c>
      <c r="F115" s="114" t="s">
        <v>646</v>
      </c>
      <c r="G115" s="120">
        <v>37931</v>
      </c>
      <c r="H115" s="114">
        <v>12</v>
      </c>
      <c r="I115" s="114">
        <v>8</v>
      </c>
      <c r="J115" s="114">
        <v>32</v>
      </c>
      <c r="K115" s="114" t="s">
        <v>58</v>
      </c>
      <c r="L115" s="114" t="s">
        <v>463</v>
      </c>
      <c r="M115" s="114" t="s">
        <v>119</v>
      </c>
      <c r="N115" s="4"/>
      <c r="O115" s="4"/>
      <c r="P115" s="4"/>
      <c r="Q115" s="4"/>
      <c r="R115" s="4"/>
      <c r="S115" s="4"/>
      <c r="T115" s="4"/>
    </row>
    <row r="116" spans="1:20" ht="15" customHeight="1" thickBot="1">
      <c r="A116" s="133"/>
      <c r="B116" s="133">
        <v>109</v>
      </c>
      <c r="C116" s="114" t="s">
        <v>46</v>
      </c>
      <c r="D116" s="114" t="s">
        <v>647</v>
      </c>
      <c r="E116" s="114" t="s">
        <v>222</v>
      </c>
      <c r="F116" s="114" t="s">
        <v>55</v>
      </c>
      <c r="G116" s="120" t="s">
        <v>648</v>
      </c>
      <c r="H116" s="114">
        <v>12</v>
      </c>
      <c r="I116" s="114">
        <v>8</v>
      </c>
      <c r="J116" s="114">
        <v>3</v>
      </c>
      <c r="K116" s="114" t="s">
        <v>58</v>
      </c>
      <c r="L116" s="114" t="s">
        <v>463</v>
      </c>
      <c r="M116" s="114" t="s">
        <v>119</v>
      </c>
      <c r="N116" s="4"/>
      <c r="O116" s="4"/>
      <c r="P116" s="4"/>
      <c r="Q116" s="4"/>
      <c r="R116" s="4"/>
      <c r="S116" s="4"/>
      <c r="T116" s="4"/>
    </row>
    <row r="117" spans="1:20" ht="15" customHeight="1" thickBot="1">
      <c r="A117" s="133"/>
      <c r="B117" s="133">
        <v>110</v>
      </c>
      <c r="C117" s="114" t="s">
        <v>38</v>
      </c>
      <c r="D117" s="114" t="s">
        <v>649</v>
      </c>
      <c r="E117" s="114" t="s">
        <v>60</v>
      </c>
      <c r="F117" s="114" t="s">
        <v>67</v>
      </c>
      <c r="G117" s="120">
        <v>37599</v>
      </c>
      <c r="H117" s="114">
        <v>13</v>
      </c>
      <c r="I117" s="114">
        <v>3</v>
      </c>
      <c r="J117" s="114">
        <v>55</v>
      </c>
      <c r="K117" s="114" t="s">
        <v>58</v>
      </c>
      <c r="L117" s="114" t="s">
        <v>463</v>
      </c>
      <c r="M117" s="114" t="s">
        <v>119</v>
      </c>
      <c r="N117" s="4"/>
      <c r="O117" s="4"/>
      <c r="P117" s="4"/>
      <c r="Q117" s="4"/>
      <c r="R117" s="4"/>
      <c r="S117" s="4"/>
      <c r="T117" s="4"/>
    </row>
    <row r="118" spans="1:20" ht="15" customHeight="1" thickBot="1">
      <c r="A118" s="133"/>
      <c r="B118" s="133">
        <v>111</v>
      </c>
      <c r="C118" s="114" t="s">
        <v>38</v>
      </c>
      <c r="D118" s="114" t="s">
        <v>127</v>
      </c>
      <c r="E118" s="114" t="s">
        <v>50</v>
      </c>
      <c r="F118" s="114" t="s">
        <v>84</v>
      </c>
      <c r="G118" s="120">
        <v>37664</v>
      </c>
      <c r="H118" s="114">
        <v>13</v>
      </c>
      <c r="I118" s="114">
        <v>6</v>
      </c>
      <c r="J118" s="114">
        <v>38</v>
      </c>
      <c r="K118" s="114" t="s">
        <v>58</v>
      </c>
      <c r="L118" s="114" t="s">
        <v>463</v>
      </c>
      <c r="M118" s="114" t="s">
        <v>119</v>
      </c>
      <c r="N118" s="4"/>
      <c r="O118" s="4"/>
      <c r="P118" s="4"/>
      <c r="Q118" s="4"/>
      <c r="R118" s="4"/>
      <c r="S118" s="4"/>
      <c r="T118" s="4"/>
    </row>
    <row r="119" spans="1:20" ht="15" customHeight="1" thickBot="1">
      <c r="A119" s="133"/>
      <c r="B119" s="133">
        <v>112</v>
      </c>
      <c r="C119" s="114" t="s">
        <v>46</v>
      </c>
      <c r="D119" s="114" t="s">
        <v>121</v>
      </c>
      <c r="E119" s="114" t="s">
        <v>180</v>
      </c>
      <c r="F119" s="114" t="s">
        <v>96</v>
      </c>
      <c r="G119" s="120">
        <v>37693</v>
      </c>
      <c r="H119" s="114">
        <v>13</v>
      </c>
      <c r="I119" s="114">
        <v>6</v>
      </c>
      <c r="J119" s="114">
        <v>44</v>
      </c>
      <c r="K119" s="114" t="s">
        <v>58</v>
      </c>
      <c r="L119" s="114" t="s">
        <v>463</v>
      </c>
      <c r="M119" s="114" t="s">
        <v>119</v>
      </c>
      <c r="N119" s="4"/>
      <c r="O119" s="4"/>
      <c r="P119" s="4"/>
      <c r="Q119" s="4"/>
      <c r="R119" s="4"/>
      <c r="S119" s="4"/>
      <c r="T119" s="4"/>
    </row>
    <row r="120" spans="1:20" ht="15" customHeight="1" thickBot="1">
      <c r="A120" s="133"/>
      <c r="B120" s="133">
        <v>113</v>
      </c>
      <c r="C120" s="114" t="s">
        <v>38</v>
      </c>
      <c r="D120" s="114" t="s">
        <v>118</v>
      </c>
      <c r="E120" s="114" t="s">
        <v>61</v>
      </c>
      <c r="F120" s="114" t="s">
        <v>54</v>
      </c>
      <c r="G120" s="120">
        <v>37334</v>
      </c>
      <c r="H120" s="114">
        <v>14</v>
      </c>
      <c r="I120" s="114">
        <v>6</v>
      </c>
      <c r="J120" s="114">
        <v>50</v>
      </c>
      <c r="K120" s="114" t="s">
        <v>58</v>
      </c>
      <c r="L120" s="114" t="s">
        <v>463</v>
      </c>
      <c r="M120" s="114" t="s">
        <v>119</v>
      </c>
      <c r="N120" s="4"/>
      <c r="O120" s="4"/>
      <c r="P120" s="4"/>
      <c r="Q120" s="4"/>
      <c r="R120" s="4"/>
      <c r="S120" s="4"/>
      <c r="T120" s="4"/>
    </row>
    <row r="121" spans="1:20" ht="15" customHeight="1" thickBot="1">
      <c r="A121" s="133"/>
      <c r="B121" s="133">
        <v>114</v>
      </c>
      <c r="C121" s="114" t="s">
        <v>46</v>
      </c>
      <c r="D121" s="114" t="s">
        <v>650</v>
      </c>
      <c r="E121" s="114" t="s">
        <v>112</v>
      </c>
      <c r="F121" s="114" t="s">
        <v>651</v>
      </c>
      <c r="G121" s="120" t="s">
        <v>652</v>
      </c>
      <c r="H121" s="114">
        <v>13</v>
      </c>
      <c r="I121" s="114">
        <v>2</v>
      </c>
      <c r="J121" s="114">
        <v>52.6</v>
      </c>
      <c r="K121" s="114" t="s">
        <v>58</v>
      </c>
      <c r="L121" s="114" t="s">
        <v>463</v>
      </c>
      <c r="M121" s="114" t="s">
        <v>272</v>
      </c>
      <c r="N121" s="4"/>
      <c r="O121" s="4"/>
      <c r="P121" s="4"/>
      <c r="Q121" s="4"/>
      <c r="R121" s="4"/>
      <c r="S121" s="4"/>
      <c r="T121" s="4"/>
    </row>
    <row r="122" spans="1:20" ht="15" customHeight="1" thickBot="1">
      <c r="A122" s="133"/>
      <c r="B122" s="133">
        <v>115</v>
      </c>
      <c r="C122" s="114" t="s">
        <v>38</v>
      </c>
      <c r="D122" s="114" t="s">
        <v>460</v>
      </c>
      <c r="E122" s="114" t="s">
        <v>61</v>
      </c>
      <c r="F122" s="114" t="s">
        <v>162</v>
      </c>
      <c r="G122" s="120" t="s">
        <v>653</v>
      </c>
      <c r="H122" s="114">
        <v>12</v>
      </c>
      <c r="I122" s="114">
        <v>2</v>
      </c>
      <c r="J122" s="114" t="s">
        <v>654</v>
      </c>
      <c r="K122" s="114" t="s">
        <v>58</v>
      </c>
      <c r="L122" s="114" t="s">
        <v>463</v>
      </c>
      <c r="M122" s="114" t="s">
        <v>272</v>
      </c>
      <c r="N122" s="4"/>
      <c r="O122" s="4"/>
      <c r="P122" s="4"/>
      <c r="Q122" s="4"/>
      <c r="R122" s="4"/>
      <c r="S122" s="4"/>
      <c r="T122" s="4"/>
    </row>
    <row r="123" spans="1:20" ht="15" customHeight="1" thickBot="1">
      <c r="A123" s="133"/>
      <c r="B123" s="133">
        <v>116</v>
      </c>
      <c r="C123" s="114" t="s">
        <v>38</v>
      </c>
      <c r="D123" s="114" t="s">
        <v>655</v>
      </c>
      <c r="E123" s="114" t="s">
        <v>151</v>
      </c>
      <c r="F123" s="114" t="s">
        <v>78</v>
      </c>
      <c r="G123" s="120">
        <v>37173</v>
      </c>
      <c r="H123" s="114">
        <v>14</v>
      </c>
      <c r="I123" s="114">
        <v>5</v>
      </c>
      <c r="J123" s="114">
        <v>65</v>
      </c>
      <c r="K123" s="114" t="s">
        <v>58</v>
      </c>
      <c r="L123" s="114" t="s">
        <v>463</v>
      </c>
      <c r="M123" s="114" t="s">
        <v>110</v>
      </c>
      <c r="N123" s="4"/>
      <c r="O123" s="4"/>
      <c r="P123" s="4"/>
      <c r="Q123" s="4"/>
      <c r="R123" s="4"/>
      <c r="S123" s="4"/>
      <c r="T123" s="4"/>
    </row>
    <row r="124" spans="1:20" ht="15" customHeight="1" thickBot="1">
      <c r="A124" s="133"/>
      <c r="B124" s="133">
        <v>117</v>
      </c>
      <c r="C124" s="114" t="s">
        <v>38</v>
      </c>
      <c r="D124" s="114" t="s">
        <v>656</v>
      </c>
      <c r="E124" s="114" t="s">
        <v>52</v>
      </c>
      <c r="F124" s="114" t="s">
        <v>173</v>
      </c>
      <c r="G124" s="120">
        <v>37575</v>
      </c>
      <c r="H124" s="114">
        <v>13</v>
      </c>
      <c r="I124" s="114">
        <v>5</v>
      </c>
      <c r="J124" s="114" t="s">
        <v>657</v>
      </c>
      <c r="K124" s="114" t="s">
        <v>58</v>
      </c>
      <c r="L124" s="114" t="s">
        <v>463</v>
      </c>
      <c r="M124" s="114" t="s">
        <v>110</v>
      </c>
      <c r="N124" s="4"/>
      <c r="O124" s="4"/>
      <c r="P124" s="4"/>
      <c r="Q124" s="4"/>
      <c r="R124" s="4"/>
      <c r="S124" s="4"/>
      <c r="T124" s="4"/>
    </row>
    <row r="125" spans="1:20" ht="15" customHeight="1" thickBot="1">
      <c r="A125" s="133"/>
      <c r="B125" s="133">
        <v>118</v>
      </c>
      <c r="C125" s="114" t="s">
        <v>46</v>
      </c>
      <c r="D125" s="114" t="s">
        <v>111</v>
      </c>
      <c r="E125" s="114" t="s">
        <v>112</v>
      </c>
      <c r="F125" s="114" t="s">
        <v>82</v>
      </c>
      <c r="G125" s="120">
        <v>37377</v>
      </c>
      <c r="H125" s="114">
        <v>13</v>
      </c>
      <c r="I125" s="114">
        <v>10</v>
      </c>
      <c r="J125" s="114" t="s">
        <v>658</v>
      </c>
      <c r="K125" s="114" t="s">
        <v>58</v>
      </c>
      <c r="L125" s="114" t="s">
        <v>463</v>
      </c>
      <c r="M125" s="114" t="s">
        <v>110</v>
      </c>
      <c r="N125" s="4"/>
      <c r="O125" s="4"/>
      <c r="P125" s="4"/>
      <c r="Q125" s="4"/>
      <c r="R125" s="4"/>
      <c r="S125" s="4"/>
      <c r="T125" s="4"/>
    </row>
    <row r="126" spans="1:20" ht="15" customHeight="1" thickBot="1">
      <c r="A126" s="133"/>
      <c r="B126" s="133">
        <v>119</v>
      </c>
      <c r="C126" s="114" t="s">
        <v>38</v>
      </c>
      <c r="D126" s="114" t="s">
        <v>109</v>
      </c>
      <c r="E126" s="114" t="s">
        <v>66</v>
      </c>
      <c r="F126" s="114" t="s">
        <v>74</v>
      </c>
      <c r="G126" s="120">
        <v>37130</v>
      </c>
      <c r="H126" s="114">
        <v>14</v>
      </c>
      <c r="I126" s="114">
        <v>8</v>
      </c>
      <c r="J126" s="114" t="s">
        <v>659</v>
      </c>
      <c r="K126" s="114" t="s">
        <v>58</v>
      </c>
      <c r="L126" s="114" t="s">
        <v>463</v>
      </c>
      <c r="M126" s="114" t="s">
        <v>110</v>
      </c>
      <c r="N126" s="4"/>
      <c r="O126" s="4"/>
      <c r="P126" s="4"/>
      <c r="Q126" s="4"/>
      <c r="R126" s="4"/>
      <c r="S126" s="4"/>
      <c r="T126" s="4"/>
    </row>
    <row r="127" spans="1:20" ht="15" customHeight="1" thickBot="1">
      <c r="A127" s="133"/>
      <c r="B127" s="133">
        <v>120</v>
      </c>
      <c r="C127" s="114" t="s">
        <v>38</v>
      </c>
      <c r="D127" s="114" t="s">
        <v>117</v>
      </c>
      <c r="E127" s="114" t="s">
        <v>43</v>
      </c>
      <c r="F127" s="114" t="s">
        <v>78</v>
      </c>
      <c r="G127" s="120">
        <v>38019</v>
      </c>
      <c r="H127" s="114">
        <v>12</v>
      </c>
      <c r="I127" s="114">
        <v>7</v>
      </c>
      <c r="J127" s="114" t="s">
        <v>660</v>
      </c>
      <c r="K127" s="114" t="s">
        <v>58</v>
      </c>
      <c r="L127" s="114" t="s">
        <v>463</v>
      </c>
      <c r="M127" s="114" t="s">
        <v>110</v>
      </c>
      <c r="N127" s="4"/>
      <c r="O127" s="4"/>
      <c r="P127" s="4"/>
      <c r="Q127" s="4"/>
      <c r="R127" s="4"/>
      <c r="S127" s="4"/>
      <c r="T127" s="4"/>
    </row>
    <row r="128" spans="1:20" ht="15" customHeight="1" thickBot="1">
      <c r="A128" s="133"/>
      <c r="B128" s="133">
        <v>121</v>
      </c>
      <c r="C128" s="114" t="s">
        <v>38</v>
      </c>
      <c r="D128" s="114" t="s">
        <v>661</v>
      </c>
      <c r="E128" s="114" t="s">
        <v>597</v>
      </c>
      <c r="F128" s="114" t="s">
        <v>67</v>
      </c>
      <c r="G128" s="120">
        <v>37679</v>
      </c>
      <c r="H128" s="114">
        <v>13</v>
      </c>
      <c r="I128" s="114">
        <v>9</v>
      </c>
      <c r="J128" s="114" t="s">
        <v>662</v>
      </c>
      <c r="K128" s="114" t="s">
        <v>58</v>
      </c>
      <c r="L128" s="114" t="s">
        <v>463</v>
      </c>
      <c r="M128" s="114" t="s">
        <v>273</v>
      </c>
      <c r="N128" s="4"/>
      <c r="O128" s="4"/>
      <c r="P128" s="4"/>
      <c r="Q128" s="4"/>
      <c r="R128" s="4"/>
      <c r="S128" s="4"/>
      <c r="T128" s="4"/>
    </row>
    <row r="129" spans="1:20" ht="15" customHeight="1" thickBot="1">
      <c r="A129" s="133"/>
      <c r="B129" s="133">
        <v>122</v>
      </c>
      <c r="C129" s="114" t="s">
        <v>38</v>
      </c>
      <c r="D129" s="114" t="s">
        <v>663</v>
      </c>
      <c r="E129" s="114" t="s">
        <v>664</v>
      </c>
      <c r="F129" s="114" t="s">
        <v>82</v>
      </c>
      <c r="G129" s="120">
        <v>36878</v>
      </c>
      <c r="H129" s="114">
        <v>15</v>
      </c>
      <c r="I129" s="114">
        <v>9</v>
      </c>
      <c r="J129" s="114">
        <v>84</v>
      </c>
      <c r="K129" s="114" t="s">
        <v>58</v>
      </c>
      <c r="L129" s="114" t="s">
        <v>463</v>
      </c>
      <c r="M129" s="114" t="s">
        <v>273</v>
      </c>
      <c r="N129" s="4"/>
      <c r="O129" s="4"/>
      <c r="P129" s="4"/>
      <c r="Q129" s="4"/>
      <c r="R129" s="4"/>
      <c r="S129" s="4"/>
      <c r="T129" s="4"/>
    </row>
    <row r="130" spans="1:20" ht="15" customHeight="1" thickBot="1">
      <c r="A130" s="133"/>
      <c r="B130" s="133">
        <v>123</v>
      </c>
      <c r="C130" s="114" t="s">
        <v>46</v>
      </c>
      <c r="D130" s="114" t="s">
        <v>665</v>
      </c>
      <c r="E130" s="114" t="s">
        <v>666</v>
      </c>
      <c r="F130" s="114" t="s">
        <v>96</v>
      </c>
      <c r="G130" s="120">
        <v>37760</v>
      </c>
      <c r="H130" s="114">
        <v>12</v>
      </c>
      <c r="I130" s="114">
        <v>9</v>
      </c>
      <c r="J130" s="114" t="s">
        <v>667</v>
      </c>
      <c r="K130" s="114" t="s">
        <v>58</v>
      </c>
      <c r="L130" s="114" t="s">
        <v>463</v>
      </c>
      <c r="M130" s="114" t="s">
        <v>273</v>
      </c>
      <c r="N130" s="4"/>
      <c r="O130" s="4"/>
      <c r="P130" s="4"/>
      <c r="Q130" s="4"/>
      <c r="R130" s="4"/>
      <c r="S130" s="4"/>
      <c r="T130" s="4"/>
    </row>
    <row r="131" spans="1:20" ht="15" customHeight="1" thickBot="1">
      <c r="A131" s="114"/>
      <c r="B131" s="114">
        <v>124</v>
      </c>
      <c r="C131" s="114" t="s">
        <v>38</v>
      </c>
      <c r="D131" s="114" t="s">
        <v>668</v>
      </c>
      <c r="E131" s="114" t="s">
        <v>43</v>
      </c>
      <c r="F131" s="114" t="s">
        <v>161</v>
      </c>
      <c r="G131" s="120">
        <v>34994</v>
      </c>
      <c r="H131" s="114">
        <v>20</v>
      </c>
      <c r="I131" s="114">
        <v>1</v>
      </c>
      <c r="J131" s="114">
        <v>69</v>
      </c>
      <c r="K131" s="114" t="s">
        <v>58</v>
      </c>
      <c r="L131" s="114" t="s">
        <v>463</v>
      </c>
      <c r="M131" s="114" t="s">
        <v>274</v>
      </c>
      <c r="N131" s="4"/>
      <c r="O131" s="4"/>
      <c r="P131" s="4"/>
      <c r="Q131" s="4"/>
      <c r="R131" s="4"/>
      <c r="S131" s="4"/>
      <c r="T131" s="4"/>
    </row>
    <row r="132" spans="1:20" ht="15" customHeight="1" thickBot="1">
      <c r="A132" s="114"/>
      <c r="B132" s="114">
        <v>125</v>
      </c>
      <c r="C132" s="114" t="s">
        <v>38</v>
      </c>
      <c r="D132" s="114" t="s">
        <v>669</v>
      </c>
      <c r="E132" s="114" t="s">
        <v>40</v>
      </c>
      <c r="F132" s="114" t="s">
        <v>670</v>
      </c>
      <c r="G132" s="120">
        <v>37754</v>
      </c>
      <c r="H132" s="114">
        <v>12</v>
      </c>
      <c r="I132" s="114">
        <v>7</v>
      </c>
      <c r="J132" s="114">
        <v>63</v>
      </c>
      <c r="K132" s="114" t="s">
        <v>58</v>
      </c>
      <c r="L132" s="114" t="s">
        <v>463</v>
      </c>
      <c r="M132" s="114" t="s">
        <v>274</v>
      </c>
      <c r="N132" s="4"/>
      <c r="O132" s="4"/>
      <c r="P132" s="4"/>
      <c r="Q132" s="4"/>
      <c r="R132" s="4"/>
      <c r="S132" s="4"/>
      <c r="T132" s="4"/>
    </row>
    <row r="133" spans="1:20" ht="15" customHeight="1" thickBot="1">
      <c r="A133" s="114"/>
      <c r="B133" s="114">
        <v>126</v>
      </c>
      <c r="C133" s="114" t="s">
        <v>38</v>
      </c>
      <c r="D133" s="114" t="s">
        <v>671</v>
      </c>
      <c r="E133" s="114" t="s">
        <v>43</v>
      </c>
      <c r="F133" s="114" t="s">
        <v>540</v>
      </c>
      <c r="G133" s="149">
        <v>37490</v>
      </c>
      <c r="H133" s="114">
        <v>13</v>
      </c>
      <c r="I133" s="114">
        <v>5</v>
      </c>
      <c r="J133" s="114">
        <v>65</v>
      </c>
      <c r="K133" s="114" t="s">
        <v>58</v>
      </c>
      <c r="L133" s="114" t="s">
        <v>463</v>
      </c>
      <c r="M133" s="114" t="s">
        <v>274</v>
      </c>
      <c r="N133" s="4"/>
      <c r="O133" s="4"/>
      <c r="P133" s="4"/>
      <c r="Q133" s="4"/>
      <c r="R133" s="4"/>
      <c r="S133" s="4"/>
      <c r="T133" s="4"/>
    </row>
    <row r="134" spans="1:20" ht="15" customHeight="1" thickBot="1">
      <c r="A134" s="114"/>
      <c r="B134" s="114">
        <v>127</v>
      </c>
      <c r="C134" s="114" t="s">
        <v>38</v>
      </c>
      <c r="D134" s="114" t="s">
        <v>672</v>
      </c>
      <c r="E134" s="114" t="s">
        <v>61</v>
      </c>
      <c r="F134" s="114" t="s">
        <v>67</v>
      </c>
      <c r="G134" s="149">
        <v>37363</v>
      </c>
      <c r="H134" s="114">
        <v>13</v>
      </c>
      <c r="I134" s="114">
        <v>8</v>
      </c>
      <c r="J134" s="114">
        <v>68</v>
      </c>
      <c r="K134" s="114" t="s">
        <v>58</v>
      </c>
      <c r="L134" s="114" t="s">
        <v>463</v>
      </c>
      <c r="M134" s="114" t="s">
        <v>274</v>
      </c>
      <c r="N134" s="4"/>
      <c r="O134" s="4"/>
      <c r="P134" s="4"/>
      <c r="Q134" s="4"/>
      <c r="R134" s="4"/>
      <c r="S134" s="4"/>
      <c r="T134" s="4"/>
    </row>
    <row r="135" spans="1:20" ht="15" customHeight="1" thickBot="1">
      <c r="A135" s="114"/>
      <c r="B135" s="114">
        <v>128</v>
      </c>
      <c r="C135" s="114" t="s">
        <v>38</v>
      </c>
      <c r="D135" s="114" t="s">
        <v>673</v>
      </c>
      <c r="E135" s="114" t="s">
        <v>48</v>
      </c>
      <c r="F135" s="114" t="s">
        <v>162</v>
      </c>
      <c r="G135" s="149">
        <v>37327</v>
      </c>
      <c r="H135" s="114">
        <v>14</v>
      </c>
      <c r="I135" s="114">
        <v>10</v>
      </c>
      <c r="J135" s="114">
        <v>52</v>
      </c>
      <c r="K135" s="114" t="s">
        <v>58</v>
      </c>
      <c r="L135" s="114" t="s">
        <v>463</v>
      </c>
      <c r="M135" s="114" t="s">
        <v>274</v>
      </c>
      <c r="N135" s="4"/>
      <c r="O135" s="4"/>
      <c r="P135" s="4"/>
      <c r="Q135" s="4"/>
      <c r="R135" s="4"/>
      <c r="S135" s="4"/>
      <c r="T135" s="4"/>
    </row>
    <row r="136" spans="1:20" ht="15" customHeight="1" thickBot="1">
      <c r="A136" s="114"/>
      <c r="B136" s="114">
        <v>129</v>
      </c>
      <c r="C136" s="114" t="s">
        <v>38</v>
      </c>
      <c r="D136" s="114" t="s">
        <v>674</v>
      </c>
      <c r="E136" s="114" t="s">
        <v>49</v>
      </c>
      <c r="F136" s="114" t="s">
        <v>399</v>
      </c>
      <c r="G136" s="149">
        <v>36040</v>
      </c>
      <c r="H136" s="114">
        <v>17</v>
      </c>
      <c r="I136" s="114">
        <v>4</v>
      </c>
      <c r="J136" s="114" t="s">
        <v>675</v>
      </c>
      <c r="K136" s="114" t="s">
        <v>58</v>
      </c>
      <c r="L136" s="114" t="s">
        <v>463</v>
      </c>
      <c r="M136" s="114" t="s">
        <v>274</v>
      </c>
      <c r="N136" s="4"/>
      <c r="O136" s="4"/>
      <c r="P136" s="4"/>
      <c r="Q136" s="4"/>
      <c r="R136" s="4"/>
      <c r="S136" s="4"/>
      <c r="T136" s="4"/>
    </row>
    <row r="137" spans="1:20" ht="15" customHeight="1" thickBot="1">
      <c r="A137" s="114"/>
      <c r="B137" s="114">
        <v>130</v>
      </c>
      <c r="C137" s="114" t="s">
        <v>38</v>
      </c>
      <c r="D137" s="114" t="s">
        <v>676</v>
      </c>
      <c r="E137" s="114" t="s">
        <v>69</v>
      </c>
      <c r="F137" s="150" t="s">
        <v>54</v>
      </c>
      <c r="G137" s="149">
        <v>35852</v>
      </c>
      <c r="H137" s="114">
        <v>18</v>
      </c>
      <c r="I137" s="114">
        <v>6</v>
      </c>
      <c r="J137" s="114">
        <v>76</v>
      </c>
      <c r="K137" s="114" t="s">
        <v>58</v>
      </c>
      <c r="L137" s="114" t="s">
        <v>463</v>
      </c>
      <c r="M137" s="114" t="s">
        <v>274</v>
      </c>
      <c r="N137" s="4"/>
      <c r="O137" s="4"/>
      <c r="P137" s="4"/>
      <c r="Q137" s="4"/>
      <c r="R137" s="4"/>
      <c r="S137" s="4"/>
      <c r="T137" s="4"/>
    </row>
    <row r="138" spans="1:20" s="152" customFormat="1" ht="15" customHeight="1" thickBot="1">
      <c r="A138" s="114"/>
      <c r="B138" s="114">
        <v>131</v>
      </c>
      <c r="C138" s="114" t="s">
        <v>38</v>
      </c>
      <c r="D138" s="114" t="s">
        <v>122</v>
      </c>
      <c r="E138" s="114" t="s">
        <v>677</v>
      </c>
      <c r="F138" s="114" t="s">
        <v>604</v>
      </c>
      <c r="G138" s="149">
        <v>37148</v>
      </c>
      <c r="H138" s="114">
        <v>14</v>
      </c>
      <c r="I138" s="114">
        <v>2</v>
      </c>
      <c r="J138" s="114">
        <v>54</v>
      </c>
      <c r="K138" s="114" t="s">
        <v>58</v>
      </c>
      <c r="L138" s="114" t="s">
        <v>463</v>
      </c>
      <c r="M138" s="114" t="s">
        <v>119</v>
      </c>
      <c r="N138" s="151"/>
      <c r="O138" s="151"/>
      <c r="P138" s="151"/>
      <c r="Q138" s="151"/>
      <c r="R138" s="151"/>
      <c r="S138" s="151"/>
      <c r="T138" s="151"/>
    </row>
    <row r="139" spans="1:20" ht="15" customHeight="1" thickBot="1">
      <c r="A139" s="114"/>
      <c r="B139" s="114">
        <v>132</v>
      </c>
      <c r="C139" s="114" t="s">
        <v>38</v>
      </c>
      <c r="D139" s="114" t="s">
        <v>678</v>
      </c>
      <c r="E139" s="114" t="s">
        <v>179</v>
      </c>
      <c r="F139" s="114" t="s">
        <v>679</v>
      </c>
      <c r="G139" s="149">
        <v>37607</v>
      </c>
      <c r="H139" s="114">
        <v>13</v>
      </c>
      <c r="I139" s="114">
        <v>5</v>
      </c>
      <c r="J139" s="114">
        <v>47</v>
      </c>
      <c r="K139" s="114" t="s">
        <v>148</v>
      </c>
      <c r="L139" s="123" t="s">
        <v>365</v>
      </c>
      <c r="M139" s="123" t="s">
        <v>261</v>
      </c>
      <c r="N139" s="4"/>
      <c r="O139" s="4"/>
      <c r="P139" s="4"/>
      <c r="Q139" s="4"/>
      <c r="R139" s="4"/>
      <c r="S139" s="4"/>
      <c r="T139" s="4"/>
    </row>
    <row r="140" spans="1:20" ht="15" customHeight="1" thickBot="1">
      <c r="A140" s="114"/>
      <c r="B140" s="114">
        <v>133</v>
      </c>
      <c r="C140" s="114" t="s">
        <v>38</v>
      </c>
      <c r="D140" s="114" t="s">
        <v>680</v>
      </c>
      <c r="E140" s="114" t="s">
        <v>49</v>
      </c>
      <c r="F140" s="114"/>
      <c r="G140" s="149">
        <v>37455</v>
      </c>
      <c r="H140" s="114">
        <v>14</v>
      </c>
      <c r="I140" s="114">
        <v>6</v>
      </c>
      <c r="J140" s="114" t="s">
        <v>667</v>
      </c>
      <c r="K140" s="114" t="s">
        <v>58</v>
      </c>
      <c r="L140" s="114" t="s">
        <v>463</v>
      </c>
      <c r="M140" s="114" t="s">
        <v>681</v>
      </c>
      <c r="N140" s="4"/>
      <c r="O140" s="4"/>
      <c r="P140" s="4"/>
      <c r="Q140" s="4"/>
      <c r="R140" s="4"/>
      <c r="S140" s="4"/>
      <c r="T140" s="4"/>
    </row>
    <row r="141" spans="1:20" ht="15" customHeight="1" thickBot="1">
      <c r="A141" s="114"/>
      <c r="B141" s="114">
        <v>134</v>
      </c>
      <c r="C141" s="114" t="s">
        <v>38</v>
      </c>
      <c r="D141" s="114" t="s">
        <v>682</v>
      </c>
      <c r="E141" s="114" t="s">
        <v>183</v>
      </c>
      <c r="F141" s="114"/>
      <c r="G141" s="149">
        <v>36576</v>
      </c>
      <c r="H141" s="114">
        <v>16</v>
      </c>
      <c r="I141" s="114">
        <v>8</v>
      </c>
      <c r="J141" s="114" t="s">
        <v>683</v>
      </c>
      <c r="K141" s="114" t="s">
        <v>58</v>
      </c>
      <c r="L141" s="114" t="s">
        <v>463</v>
      </c>
      <c r="M141" s="114" t="s">
        <v>684</v>
      </c>
      <c r="N141" s="4"/>
      <c r="O141" s="4"/>
      <c r="P141" s="4"/>
      <c r="Q141" s="4"/>
      <c r="R141" s="4"/>
      <c r="S141" s="4"/>
      <c r="T141" s="4"/>
    </row>
    <row r="142" spans="1:20" ht="15" customHeight="1" thickBot="1">
      <c r="A142" s="114"/>
      <c r="B142" s="114">
        <v>135</v>
      </c>
      <c r="C142" s="114" t="s">
        <v>38</v>
      </c>
      <c r="D142" s="114" t="s">
        <v>240</v>
      </c>
      <c r="E142" s="114" t="s">
        <v>685</v>
      </c>
      <c r="F142" s="114"/>
      <c r="G142" s="149">
        <v>36224</v>
      </c>
      <c r="H142" s="114">
        <v>17</v>
      </c>
      <c r="I142" s="114">
        <v>5</v>
      </c>
      <c r="J142" s="114">
        <v>52</v>
      </c>
      <c r="K142" s="114" t="s">
        <v>58</v>
      </c>
      <c r="L142" s="114" t="s">
        <v>463</v>
      </c>
      <c r="M142" s="114" t="s">
        <v>681</v>
      </c>
      <c r="N142" s="4"/>
      <c r="O142" s="4"/>
      <c r="P142" s="4"/>
      <c r="Q142" s="4"/>
      <c r="R142" s="4"/>
      <c r="S142" s="4"/>
      <c r="T142" s="4"/>
    </row>
    <row r="143" spans="1:20" ht="15" customHeight="1" thickBot="1">
      <c r="A143" s="114"/>
      <c r="B143" s="114">
        <v>136</v>
      </c>
      <c r="C143" s="153" t="s">
        <v>46</v>
      </c>
      <c r="D143" s="153" t="s">
        <v>686</v>
      </c>
      <c r="E143" s="153" t="s">
        <v>687</v>
      </c>
      <c r="F143" s="153" t="s">
        <v>355</v>
      </c>
      <c r="G143" s="154">
        <v>37167</v>
      </c>
      <c r="H143" s="153">
        <v>14</v>
      </c>
      <c r="I143" s="153">
        <v>10</v>
      </c>
      <c r="J143" s="153">
        <v>40</v>
      </c>
      <c r="K143" s="153"/>
      <c r="L143" s="153" t="s">
        <v>393</v>
      </c>
      <c r="M143" s="153" t="s">
        <v>72</v>
      </c>
      <c r="N143" s="4"/>
      <c r="O143" s="4"/>
      <c r="P143" s="4"/>
      <c r="Q143" s="4"/>
      <c r="R143" s="4"/>
      <c r="S143" s="4"/>
      <c r="T143" s="4"/>
    </row>
    <row r="144" spans="1:20" ht="15" customHeight="1">
      <c r="A144" s="107"/>
      <c r="B144" s="107"/>
      <c r="C144" s="76"/>
      <c r="D144" s="125"/>
      <c r="E144" s="125"/>
      <c r="F144" s="126"/>
      <c r="G144" s="127"/>
      <c r="H144" s="126"/>
      <c r="I144" s="126"/>
      <c r="J144" s="125"/>
      <c r="K144" s="125"/>
      <c r="L144" s="125"/>
      <c r="M144" s="125"/>
      <c r="N144" s="4"/>
      <c r="O144" s="4"/>
      <c r="P144" s="4"/>
      <c r="Q144" s="4"/>
      <c r="R144" s="4"/>
      <c r="S144" s="4"/>
      <c r="T144" s="4"/>
    </row>
    <row r="145" spans="1:20" ht="15" customHeight="1">
      <c r="A145" s="107"/>
      <c r="B145" s="107"/>
      <c r="C145" s="76"/>
      <c r="D145" s="125"/>
      <c r="E145" s="125"/>
      <c r="F145" s="126"/>
      <c r="G145" s="127"/>
      <c r="H145" s="126"/>
      <c r="I145" s="126"/>
      <c r="J145" s="125"/>
      <c r="K145" s="125"/>
      <c r="L145" s="125"/>
      <c r="M145" s="125"/>
      <c r="N145" s="4"/>
      <c r="O145" s="4"/>
      <c r="P145" s="4"/>
      <c r="Q145" s="4"/>
      <c r="R145" s="4"/>
      <c r="S145" s="4"/>
      <c r="T145" s="4"/>
    </row>
    <row r="146" spans="1:20" ht="15" customHeight="1">
      <c r="A146" s="107"/>
      <c r="B146" s="107"/>
      <c r="C146" s="76"/>
      <c r="D146" s="125"/>
      <c r="E146" s="125"/>
      <c r="F146" s="126"/>
      <c r="G146" s="127"/>
      <c r="H146" s="126"/>
      <c r="I146" s="126"/>
      <c r="J146" s="125"/>
      <c r="K146" s="125"/>
      <c r="L146" s="125"/>
      <c r="M146" s="125"/>
      <c r="N146" s="4"/>
      <c r="O146" s="4"/>
      <c r="P146" s="4"/>
      <c r="Q146" s="4"/>
      <c r="R146" s="4"/>
      <c r="S146" s="4"/>
      <c r="T146" s="4"/>
    </row>
    <row r="147" spans="1:20" s="2" customFormat="1" ht="15.75" customHeight="1">
      <c r="A147" s="267" t="s">
        <v>26</v>
      </c>
      <c r="B147" s="267"/>
      <c r="C147" s="267"/>
      <c r="D147" s="267"/>
      <c r="E147" s="105"/>
      <c r="F147" s="62"/>
      <c r="G147" s="62"/>
      <c r="H147" s="62"/>
      <c r="I147" s="62"/>
      <c r="J147" s="56"/>
      <c r="K147" s="72"/>
      <c r="L147" s="258" t="s">
        <v>35</v>
      </c>
      <c r="M147" s="258"/>
      <c r="N147" s="28"/>
      <c r="O147" s="28"/>
      <c r="P147" s="28"/>
      <c r="Q147" s="28"/>
      <c r="R147" s="28"/>
      <c r="S147" s="28"/>
      <c r="T147" s="28"/>
    </row>
    <row r="148" spans="1:20" s="2" customFormat="1" ht="26.25" customHeight="1">
      <c r="A148" s="60"/>
      <c r="B148" s="60"/>
      <c r="C148" s="60"/>
      <c r="D148" s="60"/>
      <c r="E148" s="57"/>
      <c r="F148" s="57"/>
      <c r="G148" s="57"/>
      <c r="H148" s="57"/>
      <c r="I148" s="54"/>
      <c r="J148" s="54"/>
      <c r="K148" s="73"/>
      <c r="L148" s="54"/>
      <c r="M148" s="54"/>
      <c r="N148" s="28"/>
      <c r="O148" s="28"/>
      <c r="P148" s="28"/>
      <c r="Q148" s="28"/>
      <c r="R148" s="28"/>
      <c r="S148" s="28"/>
      <c r="T148" s="28"/>
    </row>
    <row r="149" spans="1:20" s="2" customFormat="1" ht="15" customHeight="1">
      <c r="A149" s="257" t="s">
        <v>27</v>
      </c>
      <c r="B149" s="257"/>
      <c r="C149" s="257"/>
      <c r="D149" s="257"/>
      <c r="E149" s="54"/>
      <c r="F149" s="63"/>
      <c r="G149" s="64"/>
      <c r="H149" s="65"/>
      <c r="I149" s="55"/>
      <c r="J149" s="54"/>
      <c r="K149" s="73"/>
      <c r="L149" s="258" t="s">
        <v>36</v>
      </c>
      <c r="M149" s="258"/>
      <c r="N149" s="28"/>
      <c r="O149" s="28"/>
      <c r="P149" s="28"/>
      <c r="Q149" s="28"/>
      <c r="R149" s="28"/>
      <c r="S149" s="28"/>
      <c r="T149" s="28"/>
    </row>
    <row r="150" spans="1:20" s="2" customFormat="1" ht="5.25" customHeight="1">
      <c r="A150" s="104"/>
      <c r="B150" s="104"/>
      <c r="C150" s="61"/>
      <c r="D150" s="106"/>
      <c r="E150" s="54"/>
      <c r="F150" s="57"/>
      <c r="G150" s="58"/>
      <c r="H150" s="59"/>
      <c r="I150" s="54"/>
      <c r="J150" s="54"/>
      <c r="K150" s="73"/>
      <c r="L150" s="54"/>
      <c r="M150" s="54"/>
      <c r="N150" s="28"/>
      <c r="O150" s="28"/>
      <c r="P150" s="28"/>
      <c r="Q150" s="28"/>
      <c r="R150" s="28"/>
      <c r="S150" s="28"/>
      <c r="T150" s="28"/>
    </row>
    <row r="151" spans="1:20" s="2" customFormat="1" ht="15" customHeight="1">
      <c r="A151" s="257" t="s">
        <v>28</v>
      </c>
      <c r="B151" s="257"/>
      <c r="C151" s="257"/>
      <c r="D151" s="257"/>
      <c r="E151" s="44"/>
      <c r="F151" s="66"/>
      <c r="G151" s="67"/>
      <c r="H151" s="68"/>
      <c r="I151" s="62"/>
      <c r="J151" s="56"/>
      <c r="K151" s="72"/>
      <c r="L151" s="258"/>
      <c r="M151" s="258"/>
      <c r="N151" s="28"/>
      <c r="O151" s="28"/>
      <c r="P151" s="28"/>
      <c r="Q151" s="28"/>
      <c r="R151" s="28"/>
      <c r="S151" s="28"/>
      <c r="T151" s="28"/>
    </row>
    <row r="152" spans="1:20" s="2" customFormat="1" ht="10.5" customHeight="1">
      <c r="A152" s="31"/>
      <c r="B152" s="31"/>
      <c r="C152" s="32"/>
      <c r="D152" s="33"/>
      <c r="E152" s="33"/>
      <c r="F152" s="34"/>
      <c r="G152" s="35"/>
      <c r="H152" s="36"/>
      <c r="I152" s="30"/>
      <c r="J152" s="30"/>
      <c r="K152" s="74"/>
      <c r="L152" s="30"/>
      <c r="M152" s="30"/>
      <c r="N152" s="28"/>
      <c r="O152" s="28"/>
      <c r="P152" s="28"/>
      <c r="Q152" s="28"/>
      <c r="R152" s="28"/>
      <c r="S152" s="28"/>
      <c r="T152" s="28"/>
    </row>
    <row r="153" spans="1:20" s="2" customFormat="1" ht="10.5" customHeight="1">
      <c r="A153" s="31"/>
      <c r="B153" s="31"/>
      <c r="C153" s="32"/>
      <c r="D153" s="33"/>
      <c r="E153" s="33"/>
      <c r="F153" s="34"/>
      <c r="G153" s="35"/>
      <c r="H153" s="36"/>
      <c r="I153" s="30"/>
      <c r="J153" s="30"/>
      <c r="K153" s="74"/>
      <c r="L153" s="30"/>
      <c r="M153" s="30"/>
      <c r="N153" s="28"/>
      <c r="O153" s="28"/>
      <c r="P153" s="28"/>
      <c r="Q153" s="28"/>
      <c r="R153" s="28"/>
      <c r="S153" s="28"/>
      <c r="T153" s="28"/>
    </row>
    <row r="154" spans="1:20" s="2" customFormat="1" ht="10.5" customHeight="1">
      <c r="A154" s="31"/>
      <c r="B154" s="31"/>
      <c r="C154" s="32"/>
      <c r="D154" s="33"/>
      <c r="E154" s="33"/>
      <c r="F154" s="34"/>
      <c r="G154" s="35"/>
      <c r="H154" s="36"/>
      <c r="I154" s="30"/>
      <c r="J154" s="30"/>
      <c r="K154" s="74"/>
      <c r="L154" s="30"/>
      <c r="M154" s="30"/>
      <c r="N154" s="28"/>
      <c r="O154" s="28"/>
      <c r="P154" s="28"/>
      <c r="Q154" s="28"/>
      <c r="R154" s="28"/>
      <c r="S154" s="28"/>
      <c r="T154" s="28"/>
    </row>
    <row r="155" spans="1:20" s="2" customFormat="1" ht="10.5" customHeight="1">
      <c r="A155" s="31"/>
      <c r="B155" s="31"/>
      <c r="C155" s="32"/>
      <c r="D155" s="33"/>
      <c r="E155" s="33"/>
      <c r="F155" s="34"/>
      <c r="G155" s="35"/>
      <c r="H155" s="36"/>
      <c r="I155" s="30"/>
      <c r="J155" s="30"/>
      <c r="K155" s="74"/>
      <c r="L155" s="30"/>
      <c r="M155" s="30"/>
      <c r="N155" s="28"/>
      <c r="O155" s="28"/>
      <c r="P155" s="28"/>
      <c r="Q155" s="28"/>
      <c r="R155" s="28"/>
      <c r="S155" s="28"/>
      <c r="T155" s="28"/>
    </row>
    <row r="156" spans="1:20" s="2" customFormat="1" ht="10.5" customHeight="1">
      <c r="A156" s="31"/>
      <c r="B156" s="31"/>
      <c r="C156" s="32"/>
      <c r="D156" s="33"/>
      <c r="E156" s="33"/>
      <c r="F156" s="34"/>
      <c r="G156" s="35"/>
      <c r="H156" s="36"/>
      <c r="I156" s="30"/>
      <c r="J156" s="30"/>
      <c r="K156" s="74"/>
      <c r="L156" s="30"/>
      <c r="M156" s="30"/>
      <c r="N156" s="28"/>
      <c r="O156" s="28"/>
      <c r="P156" s="28"/>
      <c r="Q156" s="28"/>
      <c r="R156" s="28"/>
      <c r="S156" s="28"/>
      <c r="T156" s="28"/>
    </row>
    <row r="157" spans="1:20" s="2" customFormat="1" ht="10.5" customHeight="1">
      <c r="A157" s="31"/>
      <c r="B157" s="31"/>
      <c r="C157" s="32"/>
      <c r="D157" s="33"/>
      <c r="E157" s="33"/>
      <c r="F157" s="34"/>
      <c r="G157" s="35"/>
      <c r="H157" s="36"/>
      <c r="I157" s="30"/>
      <c r="J157" s="30"/>
      <c r="K157" s="74"/>
      <c r="L157" s="30"/>
      <c r="M157" s="30"/>
      <c r="N157" s="29"/>
      <c r="O157" s="28"/>
      <c r="P157" s="28"/>
      <c r="Q157" s="28"/>
      <c r="R157" s="28"/>
      <c r="S157" s="28"/>
      <c r="T157" s="28"/>
    </row>
    <row r="158" spans="1:20" s="2" customFormat="1" ht="10.5" customHeight="1">
      <c r="A158" s="31"/>
      <c r="B158" s="31"/>
      <c r="C158" s="32"/>
      <c r="D158" s="33"/>
      <c r="E158" s="33"/>
      <c r="F158" s="34"/>
      <c r="G158" s="35"/>
      <c r="H158" s="36"/>
      <c r="I158" s="30"/>
      <c r="J158" s="30"/>
      <c r="K158" s="74"/>
      <c r="L158" s="30"/>
      <c r="M158" s="30"/>
      <c r="N158" s="28"/>
      <c r="O158" s="28"/>
      <c r="P158" s="28"/>
      <c r="Q158" s="28"/>
      <c r="R158" s="28"/>
      <c r="S158" s="28"/>
      <c r="T158" s="28"/>
    </row>
    <row r="159" spans="1:20" s="2" customFormat="1" ht="10.5" customHeight="1">
      <c r="A159" s="31"/>
      <c r="B159" s="31"/>
      <c r="C159" s="32"/>
      <c r="D159" s="33"/>
      <c r="E159" s="33"/>
      <c r="F159" s="34"/>
      <c r="G159" s="35"/>
      <c r="H159" s="36"/>
      <c r="I159" s="30"/>
      <c r="J159" s="30"/>
      <c r="K159" s="74"/>
      <c r="L159" s="30"/>
      <c r="M159" s="30"/>
      <c r="N159" s="28"/>
      <c r="O159" s="28"/>
      <c r="P159" s="28"/>
      <c r="Q159" s="28"/>
      <c r="R159" s="28"/>
      <c r="S159" s="28"/>
      <c r="T159" s="28"/>
    </row>
    <row r="160" spans="1:20" s="2" customFormat="1" ht="10.5" customHeight="1">
      <c r="A160" s="31"/>
      <c r="B160" s="31"/>
      <c r="C160" s="32"/>
      <c r="D160" s="33"/>
      <c r="E160" s="33"/>
      <c r="F160" s="34"/>
      <c r="G160" s="35"/>
      <c r="H160" s="36"/>
      <c r="I160" s="30"/>
      <c r="J160" s="30"/>
      <c r="K160" s="74"/>
      <c r="L160" s="30"/>
      <c r="M160" s="30"/>
      <c r="N160" s="28"/>
      <c r="O160" s="28"/>
      <c r="P160" s="28"/>
      <c r="Q160" s="28"/>
      <c r="R160" s="28"/>
      <c r="S160" s="28"/>
      <c r="T160" s="28"/>
    </row>
    <row r="161" spans="1:20" s="2" customFormat="1" ht="10.5" customHeight="1">
      <c r="A161" s="31"/>
      <c r="B161" s="31"/>
      <c r="C161" s="32"/>
      <c r="D161" s="33"/>
      <c r="E161" s="33"/>
      <c r="F161" s="34"/>
      <c r="G161" s="35"/>
      <c r="H161" s="36"/>
      <c r="I161" s="30"/>
      <c r="J161" s="30"/>
      <c r="K161" s="74"/>
      <c r="L161" s="30"/>
      <c r="M161" s="30"/>
      <c r="N161" s="28"/>
      <c r="O161" s="28"/>
      <c r="P161" s="28"/>
      <c r="Q161" s="28"/>
      <c r="R161" s="28"/>
      <c r="S161" s="28"/>
      <c r="T161" s="28"/>
    </row>
    <row r="162" spans="1:20" s="2" customFormat="1" ht="10.5" customHeight="1">
      <c r="A162" s="31"/>
      <c r="B162" s="31"/>
      <c r="C162" s="32"/>
      <c r="D162" s="33"/>
      <c r="E162" s="33"/>
      <c r="F162" s="34"/>
      <c r="G162" s="35"/>
      <c r="H162" s="36"/>
      <c r="I162" s="30"/>
      <c r="J162" s="30"/>
      <c r="K162" s="74"/>
      <c r="L162" s="30"/>
      <c r="M162" s="30"/>
      <c r="N162" s="28"/>
      <c r="O162" s="28"/>
      <c r="P162" s="28"/>
      <c r="Q162" s="28"/>
      <c r="R162" s="28"/>
      <c r="S162" s="28"/>
      <c r="T162" s="28"/>
    </row>
    <row r="163" spans="1:20" s="2" customFormat="1" ht="10.5" customHeight="1">
      <c r="A163" s="31"/>
      <c r="B163" s="31"/>
      <c r="C163" s="32"/>
      <c r="D163" s="33"/>
      <c r="E163" s="33"/>
      <c r="F163" s="37"/>
      <c r="G163" s="38"/>
      <c r="H163" s="39"/>
      <c r="I163" s="30"/>
      <c r="J163" s="30"/>
      <c r="K163" s="74"/>
      <c r="L163" s="30"/>
      <c r="M163" s="30"/>
      <c r="N163" s="28"/>
      <c r="O163" s="28"/>
      <c r="P163" s="28"/>
      <c r="Q163" s="28"/>
      <c r="R163" s="28"/>
      <c r="S163" s="28"/>
      <c r="T163" s="28"/>
    </row>
    <row r="164" spans="1:20" s="2" customFormat="1" ht="10.5" customHeight="1">
      <c r="A164" s="31"/>
      <c r="B164" s="31"/>
      <c r="C164" s="32"/>
      <c r="D164" s="33"/>
      <c r="E164" s="33"/>
      <c r="F164" s="34"/>
      <c r="G164" s="35"/>
      <c r="H164" s="36"/>
      <c r="I164" s="30"/>
      <c r="J164" s="30"/>
      <c r="K164" s="74"/>
      <c r="L164" s="30"/>
      <c r="M164" s="30"/>
      <c r="N164" s="28"/>
      <c r="O164" s="28"/>
      <c r="P164" s="28"/>
      <c r="Q164" s="28"/>
      <c r="R164" s="28"/>
      <c r="S164" s="28"/>
      <c r="T164" s="28"/>
    </row>
    <row r="165" spans="1:20" s="2" customFormat="1" ht="10.5" customHeight="1">
      <c r="A165" s="31"/>
      <c r="B165" s="31"/>
      <c r="C165" s="32"/>
      <c r="D165" s="33"/>
      <c r="E165" s="33"/>
      <c r="F165" s="34"/>
      <c r="G165" s="35"/>
      <c r="H165" s="36"/>
      <c r="I165" s="30"/>
      <c r="J165" s="30"/>
      <c r="K165" s="74"/>
      <c r="L165" s="30"/>
      <c r="M165" s="30"/>
      <c r="N165" s="28"/>
      <c r="O165" s="28"/>
      <c r="P165" s="28"/>
      <c r="Q165" s="28"/>
      <c r="R165" s="28"/>
      <c r="S165" s="28"/>
      <c r="T165" s="28"/>
    </row>
    <row r="166" spans="1:20" s="2" customFormat="1" ht="10.5" customHeight="1">
      <c r="A166" s="31"/>
      <c r="B166" s="31"/>
      <c r="C166" s="32"/>
      <c r="D166" s="33"/>
      <c r="E166" s="33"/>
      <c r="F166" s="37"/>
      <c r="G166" s="38"/>
      <c r="H166" s="39"/>
      <c r="I166" s="30"/>
      <c r="J166" s="30"/>
      <c r="K166" s="74"/>
      <c r="L166" s="30"/>
      <c r="M166" s="30"/>
      <c r="N166" s="28"/>
      <c r="O166" s="28"/>
      <c r="P166" s="28"/>
      <c r="Q166" s="28"/>
      <c r="R166" s="28"/>
      <c r="S166" s="28"/>
      <c r="T166" s="28"/>
    </row>
    <row r="167" spans="1:20" s="2" customFormat="1" ht="10.5" customHeight="1">
      <c r="A167" s="31"/>
      <c r="B167" s="31"/>
      <c r="C167" s="32"/>
      <c r="D167" s="33"/>
      <c r="E167" s="33"/>
      <c r="F167" s="34"/>
      <c r="G167" s="35"/>
      <c r="H167" s="36"/>
      <c r="I167" s="30"/>
      <c r="J167" s="30"/>
      <c r="K167" s="74"/>
      <c r="L167" s="30"/>
      <c r="M167" s="30"/>
      <c r="N167" s="28"/>
      <c r="O167" s="28"/>
      <c r="P167" s="28"/>
      <c r="Q167" s="28"/>
      <c r="R167" s="28"/>
      <c r="S167" s="28"/>
      <c r="T167" s="28"/>
    </row>
    <row r="168" spans="1:20" s="2" customFormat="1" ht="10.5" customHeight="1">
      <c r="A168" s="31"/>
      <c r="B168" s="31"/>
      <c r="C168" s="32"/>
      <c r="D168" s="33"/>
      <c r="E168" s="33"/>
      <c r="F168" s="34"/>
      <c r="G168" s="35"/>
      <c r="H168" s="36"/>
      <c r="I168" s="30"/>
      <c r="J168" s="30"/>
      <c r="K168" s="74"/>
      <c r="L168" s="30"/>
      <c r="M168" s="30"/>
      <c r="N168" s="28"/>
      <c r="O168" s="28"/>
      <c r="P168" s="28"/>
      <c r="Q168" s="28"/>
      <c r="R168" s="28"/>
      <c r="S168" s="28"/>
      <c r="T168" s="28"/>
    </row>
    <row r="169" spans="1:20" s="2" customFormat="1" ht="10.5" customHeight="1">
      <c r="A169" s="31"/>
      <c r="B169" s="31"/>
      <c r="C169" s="32"/>
      <c r="D169" s="33"/>
      <c r="E169" s="33"/>
      <c r="F169" s="34"/>
      <c r="G169" s="35"/>
      <c r="H169" s="36"/>
      <c r="I169" s="30"/>
      <c r="J169" s="30"/>
      <c r="K169" s="74"/>
      <c r="L169" s="30"/>
      <c r="M169" s="30"/>
      <c r="N169" s="28"/>
      <c r="O169" s="28"/>
      <c r="P169" s="28"/>
      <c r="Q169" s="28"/>
      <c r="R169" s="28"/>
      <c r="S169" s="28"/>
      <c r="T169" s="28"/>
    </row>
    <row r="170" spans="1:20" s="2" customFormat="1" ht="10.5" customHeight="1">
      <c r="A170" s="31"/>
      <c r="B170" s="31"/>
      <c r="C170" s="32"/>
      <c r="D170" s="33"/>
      <c r="E170" s="33"/>
      <c r="F170" s="34"/>
      <c r="G170" s="35"/>
      <c r="H170" s="36"/>
      <c r="I170" s="30"/>
      <c r="J170" s="30"/>
      <c r="K170" s="74"/>
      <c r="L170" s="30"/>
      <c r="M170" s="30"/>
      <c r="N170" s="28"/>
      <c r="O170" s="28"/>
      <c r="P170" s="28"/>
      <c r="Q170" s="28"/>
      <c r="R170" s="28"/>
      <c r="S170" s="28"/>
      <c r="T170" s="28"/>
    </row>
    <row r="171" spans="1:20" s="2" customFormat="1" ht="10.5" customHeight="1">
      <c r="A171" s="31"/>
      <c r="B171" s="31"/>
      <c r="C171" s="32"/>
      <c r="D171" s="33"/>
      <c r="E171" s="33"/>
      <c r="F171" s="34"/>
      <c r="G171" s="35"/>
      <c r="H171" s="36"/>
      <c r="I171" s="30"/>
      <c r="J171" s="30"/>
      <c r="K171" s="74"/>
      <c r="L171" s="30"/>
      <c r="M171" s="30"/>
      <c r="N171" s="28"/>
      <c r="O171" s="28"/>
      <c r="P171" s="28"/>
      <c r="Q171" s="28"/>
      <c r="R171" s="28"/>
      <c r="S171" s="28"/>
      <c r="T171" s="28"/>
    </row>
    <row r="172" spans="1:20" s="2" customFormat="1" ht="10.5" customHeight="1">
      <c r="A172" s="31"/>
      <c r="B172" s="31"/>
      <c r="C172" s="32"/>
      <c r="D172" s="33"/>
      <c r="E172" s="33"/>
      <c r="F172" s="34"/>
      <c r="G172" s="35"/>
      <c r="H172" s="36"/>
      <c r="I172" s="30"/>
      <c r="J172" s="30"/>
      <c r="K172" s="74"/>
      <c r="L172" s="30"/>
      <c r="M172" s="30"/>
      <c r="N172" s="28"/>
      <c r="O172" s="28"/>
      <c r="P172" s="28"/>
      <c r="Q172" s="28"/>
      <c r="R172" s="28"/>
      <c r="S172" s="28"/>
      <c r="T172" s="28"/>
    </row>
    <row r="173" spans="1:20" s="2" customFormat="1" ht="10.5" customHeight="1">
      <c r="A173" s="31"/>
      <c r="B173" s="31"/>
      <c r="C173" s="32"/>
      <c r="D173" s="33"/>
      <c r="E173" s="33"/>
      <c r="F173" s="34"/>
      <c r="G173" s="35"/>
      <c r="H173" s="36"/>
      <c r="I173" s="30"/>
      <c r="J173" s="30"/>
      <c r="K173" s="74"/>
      <c r="L173" s="30"/>
      <c r="M173" s="30"/>
      <c r="N173" s="28"/>
      <c r="O173" s="28"/>
      <c r="P173" s="28"/>
      <c r="Q173" s="28"/>
      <c r="R173" s="28"/>
      <c r="S173" s="28"/>
      <c r="T173" s="28"/>
    </row>
    <row r="174" spans="1:20" s="2" customFormat="1" ht="10.5" customHeight="1">
      <c r="A174" s="31"/>
      <c r="B174" s="31"/>
      <c r="C174" s="32"/>
      <c r="D174" s="33"/>
      <c r="E174" s="33"/>
      <c r="F174" s="34"/>
      <c r="G174" s="35"/>
      <c r="H174" s="40"/>
      <c r="I174" s="30"/>
      <c r="J174" s="30"/>
      <c r="K174" s="74"/>
      <c r="L174" s="30"/>
      <c r="M174" s="30"/>
      <c r="N174" s="28"/>
      <c r="O174" s="28"/>
      <c r="P174" s="28"/>
      <c r="Q174" s="28"/>
      <c r="R174" s="28"/>
      <c r="S174" s="28"/>
      <c r="T174" s="28"/>
    </row>
    <row r="175" spans="1:20" s="2" customFormat="1" ht="10.5" customHeight="1">
      <c r="A175" s="31"/>
      <c r="B175" s="31"/>
      <c r="C175" s="32"/>
      <c r="D175" s="33"/>
      <c r="E175" s="33"/>
      <c r="F175" s="34"/>
      <c r="G175" s="35"/>
      <c r="H175" s="36"/>
      <c r="I175" s="30"/>
      <c r="J175" s="30"/>
      <c r="K175" s="74"/>
      <c r="L175" s="30"/>
      <c r="M175" s="30"/>
      <c r="N175" s="28"/>
      <c r="O175" s="28"/>
      <c r="P175" s="28"/>
      <c r="Q175" s="28"/>
      <c r="R175" s="28"/>
      <c r="S175" s="28"/>
      <c r="T175" s="28"/>
    </row>
    <row r="176" spans="1:20" s="2" customFormat="1" ht="10.5" customHeight="1">
      <c r="A176" s="31"/>
      <c r="B176" s="31"/>
      <c r="C176" s="32"/>
      <c r="D176" s="33"/>
      <c r="E176" s="33"/>
      <c r="F176" s="34"/>
      <c r="G176" s="35"/>
      <c r="H176" s="36"/>
      <c r="I176" s="30"/>
      <c r="J176" s="30"/>
      <c r="K176" s="74"/>
      <c r="L176" s="30"/>
      <c r="M176" s="30"/>
      <c r="N176" s="28"/>
      <c r="O176" s="28"/>
      <c r="P176" s="28"/>
      <c r="Q176" s="28"/>
      <c r="R176" s="28"/>
      <c r="S176" s="28"/>
      <c r="T176" s="28"/>
    </row>
    <row r="177" spans="1:20" s="2" customFormat="1" ht="10.5" customHeight="1">
      <c r="A177" s="31"/>
      <c r="B177" s="31"/>
      <c r="C177" s="32"/>
      <c r="D177" s="33"/>
      <c r="E177" s="33"/>
      <c r="F177" s="34"/>
      <c r="G177" s="35"/>
      <c r="H177" s="36"/>
      <c r="I177" s="30"/>
      <c r="J177" s="30"/>
      <c r="K177" s="74"/>
      <c r="L177" s="30"/>
      <c r="M177" s="30"/>
      <c r="N177" s="28"/>
      <c r="O177" s="28"/>
      <c r="P177" s="28"/>
      <c r="Q177" s="28"/>
      <c r="R177" s="28"/>
      <c r="S177" s="28"/>
      <c r="T177" s="28"/>
    </row>
    <row r="178" spans="1:20" s="2" customFormat="1" ht="10.5" customHeight="1">
      <c r="A178" s="31"/>
      <c r="B178" s="31"/>
      <c r="C178" s="32"/>
      <c r="D178" s="33"/>
      <c r="E178" s="33"/>
      <c r="F178" s="34"/>
      <c r="G178" s="35"/>
      <c r="H178" s="36"/>
      <c r="I178" s="30"/>
      <c r="J178" s="30"/>
      <c r="K178" s="74"/>
      <c r="L178" s="30"/>
      <c r="M178" s="30"/>
      <c r="N178" s="28"/>
      <c r="O178" s="28"/>
      <c r="P178" s="28"/>
      <c r="Q178" s="28"/>
      <c r="R178" s="28"/>
      <c r="S178" s="28"/>
      <c r="T178" s="28"/>
    </row>
    <row r="179" spans="1:20" s="2" customFormat="1" ht="10.5" customHeight="1">
      <c r="A179" s="31"/>
      <c r="B179" s="31"/>
      <c r="C179" s="32"/>
      <c r="D179" s="33"/>
      <c r="E179" s="33"/>
      <c r="F179" s="34"/>
      <c r="G179" s="35"/>
      <c r="H179" s="36"/>
      <c r="I179" s="30"/>
      <c r="J179" s="30"/>
      <c r="K179" s="74"/>
      <c r="L179" s="30"/>
      <c r="M179" s="30"/>
      <c r="N179" s="28"/>
      <c r="O179" s="28"/>
      <c r="P179" s="28"/>
      <c r="Q179" s="28"/>
      <c r="R179" s="28"/>
      <c r="S179" s="28"/>
      <c r="T179" s="28"/>
    </row>
    <row r="180" spans="1:20" s="2" customFormat="1" ht="10.5" customHeight="1">
      <c r="A180" s="31"/>
      <c r="B180" s="31"/>
      <c r="C180" s="32"/>
      <c r="D180" s="33"/>
      <c r="E180" s="33"/>
      <c r="F180" s="34"/>
      <c r="G180" s="35"/>
      <c r="H180" s="36"/>
      <c r="I180" s="30"/>
      <c r="J180" s="30"/>
      <c r="K180" s="74"/>
      <c r="L180" s="30"/>
      <c r="M180" s="30"/>
      <c r="N180" s="28"/>
      <c r="O180" s="28"/>
      <c r="P180" s="28"/>
      <c r="Q180" s="28"/>
      <c r="R180" s="28"/>
      <c r="S180" s="28"/>
      <c r="T180" s="28"/>
    </row>
    <row r="181" spans="1:20" s="2" customFormat="1" ht="10.5" customHeight="1">
      <c r="A181" s="31"/>
      <c r="B181" s="31"/>
      <c r="C181" s="32"/>
      <c r="D181" s="33"/>
      <c r="E181" s="33"/>
      <c r="F181" s="34"/>
      <c r="G181" s="35"/>
      <c r="H181" s="36"/>
      <c r="I181" s="30"/>
      <c r="J181" s="30"/>
      <c r="K181" s="74"/>
      <c r="L181" s="30"/>
      <c r="M181" s="30"/>
      <c r="N181" s="28"/>
      <c r="O181" s="28"/>
      <c r="P181" s="28"/>
      <c r="Q181" s="28"/>
      <c r="R181" s="28"/>
      <c r="S181" s="28"/>
      <c r="T181" s="28"/>
    </row>
    <row r="182" spans="1:20" s="2" customFormat="1" ht="10.5" customHeight="1">
      <c r="A182" s="31"/>
      <c r="B182" s="31"/>
      <c r="C182" s="32"/>
      <c r="D182" s="33"/>
      <c r="E182" s="33"/>
      <c r="F182" s="34"/>
      <c r="G182" s="35"/>
      <c r="H182" s="36"/>
      <c r="I182" s="30"/>
      <c r="J182" s="30"/>
      <c r="K182" s="74"/>
      <c r="L182" s="30"/>
      <c r="M182" s="30"/>
      <c r="N182" s="28"/>
      <c r="O182" s="28"/>
      <c r="P182" s="28"/>
      <c r="Q182" s="28"/>
      <c r="R182" s="28"/>
      <c r="S182" s="28"/>
      <c r="T182" s="28"/>
    </row>
    <row r="183" spans="1:20" s="2" customFormat="1" ht="10.5" customHeight="1">
      <c r="A183" s="31"/>
      <c r="B183" s="31"/>
      <c r="C183" s="32"/>
      <c r="D183" s="33"/>
      <c r="E183" s="33"/>
      <c r="F183" s="34"/>
      <c r="G183" s="35"/>
      <c r="H183" s="36"/>
      <c r="I183" s="30"/>
      <c r="J183" s="30"/>
      <c r="K183" s="74"/>
      <c r="L183" s="30"/>
      <c r="M183" s="30"/>
      <c r="N183" s="28"/>
      <c r="O183" s="28"/>
      <c r="P183" s="28"/>
      <c r="Q183" s="28"/>
      <c r="R183" s="28"/>
      <c r="S183" s="28"/>
      <c r="T183" s="28"/>
    </row>
    <row r="184" spans="1:20" s="2" customFormat="1" ht="10.5" customHeight="1">
      <c r="A184" s="31"/>
      <c r="B184" s="31"/>
      <c r="C184" s="32"/>
      <c r="D184" s="33"/>
      <c r="E184" s="33"/>
      <c r="F184" s="34"/>
      <c r="G184" s="35"/>
      <c r="H184" s="36"/>
      <c r="I184" s="30"/>
      <c r="J184" s="30"/>
      <c r="K184" s="74"/>
      <c r="L184" s="30"/>
      <c r="M184" s="30"/>
      <c r="N184" s="28"/>
      <c r="O184" s="28"/>
      <c r="P184" s="28"/>
      <c r="Q184" s="28"/>
      <c r="R184" s="28"/>
      <c r="S184" s="28"/>
      <c r="T184" s="28"/>
    </row>
    <row r="185" spans="1:20" s="2" customFormat="1" ht="10.5" customHeight="1">
      <c r="A185" s="31"/>
      <c r="B185" s="31"/>
      <c r="C185" s="32"/>
      <c r="D185" s="33"/>
      <c r="E185" s="33"/>
      <c r="F185" s="34"/>
      <c r="G185" s="35"/>
      <c r="H185" s="36"/>
      <c r="I185" s="30"/>
      <c r="J185" s="30"/>
      <c r="K185" s="74"/>
      <c r="L185" s="30"/>
      <c r="M185" s="30"/>
      <c r="N185" s="28"/>
      <c r="O185" s="28"/>
      <c r="P185" s="28"/>
      <c r="Q185" s="28"/>
      <c r="R185" s="28"/>
      <c r="S185" s="28"/>
      <c r="T185" s="28"/>
    </row>
    <row r="186" spans="1:20" s="2" customFormat="1" ht="10.5" customHeight="1">
      <c r="A186" s="31"/>
      <c r="B186" s="31"/>
      <c r="C186" s="32"/>
      <c r="D186" s="33"/>
      <c r="E186" s="33"/>
      <c r="F186" s="34"/>
      <c r="G186" s="35"/>
      <c r="H186" s="36"/>
      <c r="I186" s="30"/>
      <c r="J186" s="30"/>
      <c r="K186" s="74"/>
      <c r="L186" s="30"/>
      <c r="M186" s="30"/>
      <c r="N186" s="28"/>
      <c r="O186" s="28"/>
      <c r="P186" s="28"/>
      <c r="Q186" s="28"/>
      <c r="R186" s="28"/>
      <c r="S186" s="28"/>
      <c r="T186" s="28"/>
    </row>
    <row r="187" spans="1:20" s="2" customFormat="1" ht="10.5" customHeight="1">
      <c r="A187" s="31"/>
      <c r="B187" s="31"/>
      <c r="C187" s="32"/>
      <c r="D187" s="33"/>
      <c r="E187" s="33"/>
      <c r="F187" s="34"/>
      <c r="G187" s="35"/>
      <c r="H187" s="36"/>
      <c r="I187" s="30"/>
      <c r="J187" s="30"/>
      <c r="K187" s="74"/>
      <c r="L187" s="30"/>
      <c r="M187" s="30"/>
      <c r="N187" s="28"/>
      <c r="O187" s="28"/>
      <c r="P187" s="28"/>
      <c r="Q187" s="28"/>
      <c r="R187" s="28"/>
      <c r="S187" s="28"/>
      <c r="T187" s="28"/>
    </row>
    <row r="188" spans="1:20" s="2" customFormat="1" ht="10.5" customHeight="1">
      <c r="A188" s="31"/>
      <c r="B188" s="31"/>
      <c r="C188" s="32"/>
      <c r="D188" s="33"/>
      <c r="E188" s="33"/>
      <c r="F188" s="34"/>
      <c r="G188" s="35"/>
      <c r="H188" s="36"/>
      <c r="I188" s="30"/>
      <c r="J188" s="30"/>
      <c r="K188" s="74"/>
      <c r="L188" s="30"/>
      <c r="M188" s="30"/>
      <c r="N188" s="28"/>
      <c r="O188" s="28"/>
      <c r="P188" s="28"/>
      <c r="Q188" s="28"/>
      <c r="R188" s="28"/>
      <c r="S188" s="28"/>
      <c r="T188" s="28"/>
    </row>
    <row r="189" spans="1:20" s="2" customFormat="1" ht="10.5" customHeight="1">
      <c r="A189" s="31"/>
      <c r="B189" s="31"/>
      <c r="C189" s="32"/>
      <c r="D189" s="33"/>
      <c r="E189" s="33"/>
      <c r="F189" s="34"/>
      <c r="G189" s="35"/>
      <c r="H189" s="36"/>
      <c r="I189" s="30"/>
      <c r="J189" s="30"/>
      <c r="K189" s="74"/>
      <c r="L189" s="30"/>
      <c r="M189" s="30"/>
      <c r="N189" s="28"/>
      <c r="O189" s="28"/>
      <c r="P189" s="28"/>
      <c r="Q189" s="28"/>
      <c r="R189" s="28"/>
      <c r="S189" s="28"/>
      <c r="T189" s="28"/>
    </row>
    <row r="190" spans="1:20" s="2" customFormat="1" ht="10.5" customHeight="1">
      <c r="A190" s="31"/>
      <c r="B190" s="31"/>
      <c r="C190" s="32"/>
      <c r="D190" s="33"/>
      <c r="E190" s="33"/>
      <c r="F190" s="34"/>
      <c r="G190" s="35"/>
      <c r="H190" s="36"/>
      <c r="I190" s="30"/>
      <c r="J190" s="30"/>
      <c r="K190" s="74"/>
      <c r="L190" s="30"/>
      <c r="M190" s="30"/>
      <c r="N190" s="28"/>
      <c r="O190" s="28"/>
      <c r="P190" s="28"/>
      <c r="Q190" s="28"/>
      <c r="R190" s="28"/>
      <c r="S190" s="28"/>
      <c r="T190" s="28"/>
    </row>
    <row r="191" spans="1:20" s="2" customFormat="1" ht="10.5" customHeight="1">
      <c r="A191" s="31"/>
      <c r="B191" s="31"/>
      <c r="C191" s="32"/>
      <c r="D191" s="33"/>
      <c r="E191" s="33"/>
      <c r="F191" s="34"/>
      <c r="G191" s="35"/>
      <c r="H191" s="36"/>
      <c r="I191" s="30"/>
      <c r="J191" s="30"/>
      <c r="K191" s="74"/>
      <c r="L191" s="30"/>
      <c r="M191" s="30"/>
      <c r="N191" s="28"/>
      <c r="O191" s="28"/>
      <c r="P191" s="28"/>
      <c r="Q191" s="28"/>
      <c r="R191" s="28"/>
      <c r="S191" s="28"/>
      <c r="T191" s="28"/>
    </row>
    <row r="192" spans="1:20" s="2" customFormat="1" ht="10.5" customHeight="1">
      <c r="A192" s="31"/>
      <c r="B192" s="31"/>
      <c r="C192" s="32"/>
      <c r="D192" s="33"/>
      <c r="E192" s="33"/>
      <c r="F192" s="34"/>
      <c r="G192" s="35"/>
      <c r="H192" s="36"/>
      <c r="I192" s="30"/>
      <c r="J192" s="30"/>
      <c r="K192" s="74"/>
      <c r="L192" s="30"/>
      <c r="M192" s="30"/>
      <c r="N192" s="28"/>
      <c r="O192" s="28"/>
      <c r="P192" s="28"/>
      <c r="Q192" s="28"/>
      <c r="R192" s="28"/>
      <c r="S192" s="28"/>
      <c r="T192" s="28"/>
    </row>
    <row r="193" spans="1:20" s="2" customFormat="1" ht="10.5" customHeight="1">
      <c r="A193" s="31"/>
      <c r="B193" s="31"/>
      <c r="C193" s="32"/>
      <c r="D193" s="33"/>
      <c r="E193" s="33"/>
      <c r="F193" s="34"/>
      <c r="G193" s="35"/>
      <c r="H193" s="36"/>
      <c r="I193" s="30"/>
      <c r="J193" s="30"/>
      <c r="K193" s="74"/>
      <c r="L193" s="30"/>
      <c r="M193" s="30"/>
      <c r="N193" s="28"/>
      <c r="O193" s="28"/>
      <c r="P193" s="28"/>
      <c r="Q193" s="28"/>
      <c r="R193" s="28"/>
      <c r="S193" s="28"/>
      <c r="T193" s="28"/>
    </row>
    <row r="194" spans="1:20" s="2" customFormat="1" ht="10.5" customHeight="1">
      <c r="A194" s="31"/>
      <c r="B194" s="31"/>
      <c r="C194" s="32"/>
      <c r="D194" s="33"/>
      <c r="E194" s="33"/>
      <c r="F194" s="34"/>
      <c r="G194" s="35"/>
      <c r="H194" s="36"/>
      <c r="I194" s="30"/>
      <c r="J194" s="30"/>
      <c r="K194" s="74"/>
      <c r="L194" s="30"/>
      <c r="M194" s="30"/>
      <c r="N194" s="28"/>
      <c r="O194" s="28"/>
      <c r="P194" s="28"/>
      <c r="Q194" s="28"/>
      <c r="R194" s="28"/>
      <c r="S194" s="28"/>
      <c r="T194" s="28"/>
    </row>
    <row r="195" spans="1:20" s="2" customFormat="1" ht="10.5" customHeight="1">
      <c r="A195" s="31"/>
      <c r="B195" s="31"/>
      <c r="C195" s="32"/>
      <c r="D195" s="33"/>
      <c r="E195" s="33"/>
      <c r="F195" s="34"/>
      <c r="G195" s="35"/>
      <c r="H195" s="36"/>
      <c r="I195" s="30"/>
      <c r="J195" s="30"/>
      <c r="K195" s="74"/>
      <c r="L195" s="30"/>
      <c r="M195" s="30"/>
      <c r="N195" s="28"/>
      <c r="O195" s="28"/>
      <c r="P195" s="28"/>
      <c r="Q195" s="28"/>
      <c r="R195" s="28"/>
      <c r="S195" s="28"/>
      <c r="T195" s="28"/>
    </row>
    <row r="196" spans="1:20" s="2" customFormat="1" ht="10.5" customHeight="1">
      <c r="A196" s="31"/>
      <c r="B196" s="31"/>
      <c r="C196" s="32"/>
      <c r="D196" s="33"/>
      <c r="E196" s="33"/>
      <c r="F196" s="34"/>
      <c r="G196" s="35"/>
      <c r="H196" s="36"/>
      <c r="I196" s="30"/>
      <c r="J196" s="30"/>
      <c r="K196" s="74"/>
      <c r="L196" s="30"/>
      <c r="M196" s="30"/>
      <c r="N196" s="28"/>
      <c r="O196" s="28"/>
      <c r="P196" s="28"/>
      <c r="Q196" s="28"/>
      <c r="R196" s="28"/>
      <c r="S196" s="28"/>
      <c r="T196" s="28"/>
    </row>
    <row r="197" spans="1:20" s="2" customFormat="1" ht="10.5" customHeight="1">
      <c r="A197" s="31"/>
      <c r="B197" s="31"/>
      <c r="C197" s="32"/>
      <c r="D197" s="33"/>
      <c r="E197" s="33"/>
      <c r="F197" s="34"/>
      <c r="G197" s="35"/>
      <c r="H197" s="36"/>
      <c r="I197" s="30"/>
      <c r="J197" s="30"/>
      <c r="K197" s="74"/>
      <c r="L197" s="30"/>
      <c r="M197" s="30"/>
      <c r="N197" s="28"/>
      <c r="O197" s="28"/>
      <c r="P197" s="28"/>
      <c r="Q197" s="28"/>
      <c r="R197" s="28"/>
      <c r="S197" s="28"/>
      <c r="T197" s="28"/>
    </row>
    <row r="198" spans="1:20" s="2" customFormat="1" ht="10.5" customHeight="1">
      <c r="A198" s="31"/>
      <c r="B198" s="31"/>
      <c r="C198" s="32"/>
      <c r="D198" s="33"/>
      <c r="E198" s="33"/>
      <c r="F198" s="34"/>
      <c r="G198" s="35"/>
      <c r="H198" s="36"/>
      <c r="I198" s="30"/>
      <c r="J198" s="30"/>
      <c r="K198" s="74"/>
      <c r="L198" s="30"/>
      <c r="M198" s="30"/>
      <c r="N198" s="28"/>
      <c r="O198" s="28"/>
      <c r="P198" s="28"/>
      <c r="Q198" s="28"/>
      <c r="R198" s="28"/>
      <c r="S198" s="28"/>
      <c r="T198" s="28"/>
    </row>
    <row r="199" spans="1:20" s="2" customFormat="1" ht="10.5" customHeight="1">
      <c r="A199" s="31"/>
      <c r="B199" s="31"/>
      <c r="C199" s="32"/>
      <c r="D199" s="33"/>
      <c r="E199" s="33"/>
      <c r="F199" s="34"/>
      <c r="G199" s="35"/>
      <c r="H199" s="36"/>
      <c r="I199" s="30"/>
      <c r="J199" s="30"/>
      <c r="K199" s="74"/>
      <c r="L199" s="30"/>
      <c r="M199" s="30"/>
      <c r="N199" s="28"/>
      <c r="O199" s="28"/>
      <c r="P199" s="28"/>
      <c r="Q199" s="28"/>
      <c r="R199" s="28"/>
      <c r="S199" s="28"/>
      <c r="T199" s="28"/>
    </row>
    <row r="200" spans="1:20" s="2" customFormat="1" ht="10.5" customHeight="1">
      <c r="A200" s="31"/>
      <c r="B200" s="31"/>
      <c r="C200" s="32"/>
      <c r="D200" s="33"/>
      <c r="E200" s="33"/>
      <c r="F200" s="34"/>
      <c r="G200" s="35"/>
      <c r="H200" s="36"/>
      <c r="I200" s="30"/>
      <c r="J200" s="30"/>
      <c r="K200" s="74"/>
      <c r="L200" s="30"/>
      <c r="M200" s="30"/>
      <c r="N200" s="28"/>
      <c r="O200" s="28"/>
      <c r="P200" s="28"/>
      <c r="Q200" s="28"/>
      <c r="R200" s="28"/>
      <c r="S200" s="28"/>
      <c r="T200" s="28"/>
    </row>
    <row r="201" spans="1:20" s="2" customFormat="1" ht="10.5" customHeight="1">
      <c r="A201" s="31"/>
      <c r="B201" s="31"/>
      <c r="C201" s="32"/>
      <c r="D201" s="33"/>
      <c r="E201" s="33"/>
      <c r="F201" s="34"/>
      <c r="G201" s="35"/>
      <c r="H201" s="36"/>
      <c r="I201" s="30"/>
      <c r="J201" s="30"/>
      <c r="K201" s="74"/>
      <c r="L201" s="30"/>
      <c r="M201" s="30"/>
      <c r="N201" s="28"/>
      <c r="O201" s="28"/>
      <c r="P201" s="28"/>
      <c r="Q201" s="28"/>
      <c r="R201" s="28"/>
      <c r="S201" s="28"/>
      <c r="T201" s="28"/>
    </row>
    <row r="202" spans="1:20" s="2" customFormat="1" ht="10.5" customHeight="1">
      <c r="A202" s="31"/>
      <c r="B202" s="31"/>
      <c r="C202" s="32"/>
      <c r="D202" s="33"/>
      <c r="E202" s="33"/>
      <c r="F202" s="34"/>
      <c r="G202" s="35"/>
      <c r="H202" s="36"/>
      <c r="I202" s="30"/>
      <c r="J202" s="30"/>
      <c r="K202" s="74"/>
      <c r="L202" s="30"/>
      <c r="M202" s="30"/>
      <c r="N202" s="28"/>
      <c r="O202" s="28"/>
      <c r="P202" s="28"/>
      <c r="Q202" s="28"/>
      <c r="R202" s="28"/>
      <c r="S202" s="28"/>
      <c r="T202" s="28"/>
    </row>
    <row r="203" spans="1:20" s="2" customFormat="1" ht="10.5" customHeight="1">
      <c r="A203" s="31"/>
      <c r="B203" s="31"/>
      <c r="C203" s="32"/>
      <c r="D203" s="33"/>
      <c r="E203" s="33"/>
      <c r="F203" s="34"/>
      <c r="G203" s="35"/>
      <c r="H203" s="36"/>
      <c r="I203" s="30"/>
      <c r="J203" s="30"/>
      <c r="K203" s="74"/>
      <c r="L203" s="30"/>
      <c r="M203" s="30"/>
      <c r="N203" s="28"/>
      <c r="O203" s="28"/>
      <c r="P203" s="28"/>
      <c r="Q203" s="28"/>
      <c r="R203" s="28"/>
      <c r="S203" s="28"/>
      <c r="T203" s="28"/>
    </row>
    <row r="204" spans="1:20" s="2" customFormat="1" ht="10.5" customHeight="1">
      <c r="A204" s="31"/>
      <c r="B204" s="31"/>
      <c r="C204" s="32"/>
      <c r="D204" s="33"/>
      <c r="E204" s="33"/>
      <c r="F204" s="34"/>
      <c r="G204" s="35"/>
      <c r="H204" s="36"/>
      <c r="I204" s="30"/>
      <c r="J204" s="30"/>
      <c r="K204" s="74"/>
      <c r="L204" s="30"/>
      <c r="M204" s="30"/>
      <c r="N204" s="28"/>
      <c r="O204" s="28"/>
      <c r="P204" s="28"/>
      <c r="Q204" s="28"/>
      <c r="R204" s="28"/>
      <c r="S204" s="28"/>
      <c r="T204" s="28"/>
    </row>
    <row r="205" spans="1:20" s="2" customFormat="1" ht="10.5" customHeight="1">
      <c r="A205" s="31"/>
      <c r="B205" s="31"/>
      <c r="C205" s="32"/>
      <c r="D205" s="33"/>
      <c r="E205" s="33"/>
      <c r="F205" s="34"/>
      <c r="G205" s="35"/>
      <c r="H205" s="36"/>
      <c r="I205" s="30"/>
      <c r="J205" s="30"/>
      <c r="K205" s="74"/>
      <c r="L205" s="30"/>
      <c r="M205" s="30"/>
      <c r="N205" s="28"/>
      <c r="O205" s="28"/>
      <c r="P205" s="28"/>
      <c r="Q205" s="28"/>
      <c r="R205" s="28"/>
      <c r="S205" s="28"/>
      <c r="T205" s="28"/>
    </row>
    <row r="206" spans="1:20" s="2" customFormat="1" ht="10.5" customHeight="1">
      <c r="A206" s="31"/>
      <c r="B206" s="31"/>
      <c r="C206" s="32"/>
      <c r="D206" s="33"/>
      <c r="E206" s="33"/>
      <c r="F206" s="34"/>
      <c r="G206" s="35"/>
      <c r="H206" s="36"/>
      <c r="I206" s="30"/>
      <c r="J206" s="30"/>
      <c r="K206" s="74"/>
      <c r="L206" s="30"/>
      <c r="M206" s="30"/>
      <c r="N206" s="28"/>
      <c r="O206" s="28"/>
      <c r="P206" s="28"/>
      <c r="Q206" s="28"/>
      <c r="R206" s="28"/>
      <c r="S206" s="28"/>
      <c r="T206" s="28"/>
    </row>
    <row r="207" spans="1:20" s="2" customFormat="1" ht="10.5" customHeight="1">
      <c r="A207" s="31"/>
      <c r="B207" s="31"/>
      <c r="C207" s="32"/>
      <c r="D207" s="33"/>
      <c r="E207" s="33"/>
      <c r="F207" s="34"/>
      <c r="G207" s="35"/>
      <c r="H207" s="36"/>
      <c r="I207" s="30"/>
      <c r="J207" s="30"/>
      <c r="K207" s="74"/>
      <c r="L207" s="30"/>
      <c r="M207" s="30"/>
      <c r="N207" s="28"/>
      <c r="O207" s="28"/>
      <c r="P207" s="28"/>
      <c r="Q207" s="28"/>
      <c r="R207" s="28"/>
      <c r="S207" s="28"/>
      <c r="T207" s="28"/>
    </row>
    <row r="208" spans="1:20" s="2" customFormat="1" ht="10.5" customHeight="1">
      <c r="A208" s="31"/>
      <c r="B208" s="31"/>
      <c r="C208" s="32"/>
      <c r="D208" s="33"/>
      <c r="E208" s="33"/>
      <c r="F208" s="34"/>
      <c r="G208" s="35"/>
      <c r="H208" s="36"/>
      <c r="I208" s="30"/>
      <c r="J208" s="30"/>
      <c r="K208" s="74"/>
      <c r="L208" s="30"/>
      <c r="M208" s="30"/>
      <c r="N208" s="28"/>
      <c r="O208" s="28"/>
      <c r="P208" s="28"/>
      <c r="Q208" s="28"/>
      <c r="R208" s="28"/>
      <c r="S208" s="28"/>
      <c r="T208" s="28"/>
    </row>
    <row r="209" spans="1:20" s="2" customFormat="1" ht="10.5" customHeight="1">
      <c r="A209" s="31"/>
      <c r="B209" s="31"/>
      <c r="C209" s="32"/>
      <c r="D209" s="33"/>
      <c r="E209" s="33"/>
      <c r="F209" s="34"/>
      <c r="G209" s="35"/>
      <c r="H209" s="36"/>
      <c r="I209" s="30"/>
      <c r="J209" s="30"/>
      <c r="K209" s="74"/>
      <c r="L209" s="30"/>
      <c r="M209" s="30"/>
      <c r="N209" s="28"/>
      <c r="O209" s="28"/>
      <c r="P209" s="28"/>
      <c r="Q209" s="28"/>
      <c r="R209" s="28"/>
      <c r="S209" s="28"/>
      <c r="T209" s="28"/>
    </row>
    <row r="210" spans="1:20" s="2" customFormat="1" ht="10.5" customHeight="1">
      <c r="A210" s="31"/>
      <c r="B210" s="31"/>
      <c r="C210" s="32"/>
      <c r="D210" s="33"/>
      <c r="E210" s="33"/>
      <c r="F210" s="34"/>
      <c r="G210" s="35"/>
      <c r="H210" s="36"/>
      <c r="I210" s="30"/>
      <c r="J210" s="30"/>
      <c r="K210" s="74"/>
      <c r="L210" s="30"/>
      <c r="M210" s="30"/>
      <c r="N210" s="28"/>
      <c r="O210" s="28"/>
      <c r="P210" s="28"/>
      <c r="Q210" s="28"/>
      <c r="R210" s="28"/>
      <c r="S210" s="28"/>
      <c r="T210" s="28"/>
    </row>
    <row r="211" spans="1:20" s="2" customFormat="1" ht="10.5" customHeight="1">
      <c r="A211" s="31"/>
      <c r="B211" s="31"/>
      <c r="C211" s="32"/>
      <c r="D211" s="33"/>
      <c r="E211" s="33"/>
      <c r="F211" s="34"/>
      <c r="G211" s="35"/>
      <c r="H211" s="36"/>
      <c r="I211" s="30"/>
      <c r="J211" s="30"/>
      <c r="K211" s="74"/>
      <c r="L211" s="30"/>
      <c r="M211" s="30"/>
      <c r="N211" s="28"/>
      <c r="O211" s="28"/>
      <c r="P211" s="28"/>
      <c r="Q211" s="28"/>
      <c r="R211" s="28"/>
      <c r="S211" s="28"/>
      <c r="T211" s="28"/>
    </row>
    <row r="212" spans="1:20" s="2" customFormat="1" ht="10.5" customHeight="1">
      <c r="A212" s="31"/>
      <c r="B212" s="31"/>
      <c r="C212" s="32"/>
      <c r="D212" s="33"/>
      <c r="E212" s="33"/>
      <c r="F212" s="34"/>
      <c r="G212" s="35"/>
      <c r="H212" s="36"/>
      <c r="I212" s="30"/>
      <c r="J212" s="30"/>
      <c r="K212" s="74"/>
      <c r="L212" s="30"/>
      <c r="M212" s="30"/>
      <c r="N212" s="28"/>
      <c r="O212" s="28"/>
      <c r="P212" s="28"/>
      <c r="Q212" s="28"/>
      <c r="R212" s="28"/>
      <c r="S212" s="28"/>
      <c r="T212" s="28"/>
    </row>
    <row r="213" spans="1:20" s="2" customFormat="1" ht="2.25" customHeight="1">
      <c r="A213" s="41"/>
      <c r="B213" s="41"/>
      <c r="C213" s="41"/>
      <c r="D213" s="42"/>
      <c r="E213" s="43"/>
      <c r="F213" s="43"/>
      <c r="G213" s="43"/>
      <c r="H213" s="43"/>
      <c r="I213" s="30"/>
      <c r="J213" s="30"/>
      <c r="K213" s="74"/>
      <c r="L213" s="30"/>
      <c r="M213" s="30"/>
      <c r="N213" s="28"/>
      <c r="O213" s="28"/>
      <c r="P213" s="28"/>
      <c r="Q213" s="28"/>
      <c r="R213" s="28"/>
      <c r="S213" s="28"/>
      <c r="T213" s="28"/>
    </row>
    <row r="214" spans="1:20" s="2" customFormat="1" ht="12" customHeight="1">
      <c r="A214" s="44"/>
      <c r="B214" s="44"/>
      <c r="C214" s="44"/>
      <c r="D214" s="45"/>
      <c r="E214" s="45"/>
      <c r="F214" s="46"/>
      <c r="G214" s="46"/>
      <c r="H214" s="47"/>
      <c r="I214" s="30"/>
      <c r="J214" s="30"/>
      <c r="K214" s="74"/>
      <c r="L214" s="30"/>
      <c r="M214" s="30"/>
      <c r="N214" s="28"/>
      <c r="O214" s="28"/>
      <c r="P214" s="28"/>
      <c r="Q214" s="28"/>
      <c r="R214" s="28"/>
      <c r="S214" s="28"/>
      <c r="T214" s="28"/>
    </row>
    <row r="215" spans="1:20" s="2" customFormat="1" ht="14.25" customHeight="1">
      <c r="A215" s="48"/>
      <c r="B215" s="48"/>
      <c r="C215" s="48"/>
      <c r="D215" s="49"/>
      <c r="E215" s="50"/>
      <c r="F215" s="49"/>
      <c r="G215" s="51"/>
      <c r="H215" s="51"/>
      <c r="I215" s="30"/>
      <c r="J215" s="30"/>
      <c r="K215" s="74"/>
      <c r="L215" s="30"/>
      <c r="M215" s="30"/>
      <c r="N215" s="28"/>
      <c r="O215" s="28"/>
      <c r="P215" s="28"/>
      <c r="Q215" s="28"/>
      <c r="R215" s="28"/>
      <c r="S215" s="28"/>
      <c r="T215" s="28"/>
    </row>
    <row r="216" spans="1:20" s="2" customFormat="1" ht="10.5" customHeight="1">
      <c r="A216" s="47"/>
      <c r="B216" s="47"/>
      <c r="C216" s="47"/>
      <c r="D216" s="45"/>
      <c r="E216" s="45"/>
      <c r="F216" s="46"/>
      <c r="G216" s="46"/>
      <c r="H216" s="47"/>
      <c r="I216" s="30"/>
      <c r="J216" s="30"/>
      <c r="K216" s="74"/>
      <c r="L216" s="30"/>
      <c r="M216" s="30"/>
      <c r="N216" s="28"/>
      <c r="O216" s="28"/>
      <c r="P216" s="28"/>
      <c r="Q216" s="28"/>
      <c r="R216" s="28"/>
      <c r="S216" s="28"/>
      <c r="T216" s="28"/>
    </row>
    <row r="217" spans="1:20" s="2" customFormat="1" ht="18.75" customHeight="1">
      <c r="A217" s="47"/>
      <c r="B217" s="47"/>
      <c r="C217" s="47"/>
      <c r="D217" s="47"/>
      <c r="E217" s="47"/>
      <c r="F217" s="47"/>
      <c r="G217" s="47"/>
      <c r="H217" s="47"/>
      <c r="I217" s="30"/>
      <c r="J217" s="30"/>
      <c r="K217" s="74"/>
      <c r="L217" s="30"/>
      <c r="M217" s="30"/>
      <c r="N217" s="28"/>
      <c r="O217" s="28"/>
      <c r="P217" s="28"/>
      <c r="Q217" s="28"/>
      <c r="R217" s="28"/>
      <c r="S217" s="28"/>
      <c r="T217" s="28"/>
    </row>
    <row r="218" spans="1:20" s="2" customFormat="1" ht="1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74"/>
      <c r="L218" s="30"/>
      <c r="M218" s="30"/>
      <c r="N218" s="28"/>
      <c r="O218" s="28"/>
      <c r="P218" s="28"/>
      <c r="Q218" s="28"/>
      <c r="R218" s="28"/>
    </row>
    <row r="219" spans="1:20" s="2" customFormat="1" ht="1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74"/>
      <c r="L219" s="30"/>
      <c r="M219" s="30"/>
      <c r="N219" s="28"/>
      <c r="O219" s="28"/>
      <c r="P219" s="28"/>
      <c r="Q219" s="28"/>
      <c r="R219" s="28"/>
    </row>
    <row r="220" spans="1:20" s="2" customFormat="1" ht="1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74"/>
      <c r="L220" s="30"/>
      <c r="M220" s="30"/>
      <c r="N220" s="28"/>
      <c r="O220" s="28"/>
      <c r="P220" s="28"/>
      <c r="Q220" s="28"/>
      <c r="R220" s="28"/>
    </row>
    <row r="221" spans="1:20" s="2" customFormat="1" ht="1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74"/>
      <c r="L221" s="30"/>
      <c r="M221" s="30"/>
      <c r="N221" s="28"/>
      <c r="O221" s="28"/>
      <c r="P221" s="28"/>
      <c r="Q221" s="28"/>
      <c r="R221" s="28"/>
    </row>
    <row r="222" spans="1:20" s="2" customFormat="1" ht="1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74"/>
      <c r="L222" s="30"/>
      <c r="M222" s="30"/>
      <c r="N222" s="28"/>
      <c r="O222" s="28"/>
      <c r="P222" s="28"/>
      <c r="Q222" s="28"/>
      <c r="R222" s="28"/>
    </row>
    <row r="223" spans="1:20" s="2" customFormat="1" ht="1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74"/>
      <c r="L223" s="30"/>
      <c r="M223" s="30"/>
      <c r="N223" s="28"/>
      <c r="O223" s="28"/>
      <c r="P223" s="28"/>
      <c r="Q223" s="28"/>
      <c r="R223" s="28"/>
    </row>
    <row r="224" spans="1:20" s="2" customFormat="1" ht="1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74"/>
      <c r="L224" s="30"/>
      <c r="M224" s="30"/>
      <c r="N224" s="28"/>
      <c r="O224" s="28"/>
      <c r="P224" s="28"/>
      <c r="Q224" s="28"/>
      <c r="R224" s="28"/>
    </row>
    <row r="225" spans="1:18" s="2" customFormat="1" ht="1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74"/>
      <c r="L225" s="30"/>
      <c r="M225" s="30"/>
      <c r="N225" s="28"/>
      <c r="O225" s="28"/>
      <c r="P225" s="28"/>
      <c r="Q225" s="28"/>
      <c r="R225" s="28"/>
    </row>
    <row r="226" spans="1:18" s="2" customFormat="1" ht="12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74"/>
      <c r="L226" s="30"/>
      <c r="M226" s="30"/>
      <c r="N226" s="28"/>
      <c r="O226" s="28"/>
      <c r="P226" s="28"/>
      <c r="Q226" s="28"/>
      <c r="R226" s="28"/>
    </row>
    <row r="227" spans="1:18" s="2" customFormat="1" ht="12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74"/>
      <c r="L227" s="30"/>
      <c r="M227" s="30"/>
      <c r="N227" s="28"/>
      <c r="O227" s="28"/>
      <c r="P227" s="28"/>
      <c r="Q227" s="28"/>
      <c r="R227" s="28"/>
    </row>
    <row r="228" spans="1:18" s="2" customFormat="1" ht="12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74"/>
      <c r="L228" s="30"/>
      <c r="M228" s="30"/>
      <c r="N228" s="28"/>
      <c r="O228" s="28"/>
      <c r="P228" s="28"/>
      <c r="Q228" s="28"/>
      <c r="R228" s="28"/>
    </row>
    <row r="229" spans="1:18" s="2" customFormat="1" ht="12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74"/>
      <c r="L229" s="30"/>
      <c r="M229" s="30"/>
      <c r="N229" s="28"/>
      <c r="O229" s="28"/>
      <c r="P229" s="28"/>
      <c r="Q229" s="28"/>
      <c r="R229" s="28"/>
    </row>
    <row r="230" spans="1:18" s="2" customFormat="1" ht="12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74"/>
      <c r="L230" s="30"/>
      <c r="M230" s="30"/>
      <c r="N230" s="28"/>
      <c r="O230" s="28"/>
      <c r="P230" s="28"/>
      <c r="Q230" s="28"/>
      <c r="R230" s="28"/>
    </row>
    <row r="231" spans="1:18" s="2" customFormat="1" ht="12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74"/>
      <c r="L231" s="30"/>
      <c r="M231" s="30"/>
      <c r="N231" s="28"/>
      <c r="O231" s="28"/>
      <c r="P231" s="28"/>
      <c r="Q231" s="28"/>
      <c r="R231" s="28"/>
    </row>
    <row r="232" spans="1:18" s="2" customFormat="1" ht="12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74"/>
      <c r="L232" s="30"/>
      <c r="M232" s="30"/>
      <c r="N232" s="28"/>
      <c r="O232" s="28"/>
      <c r="P232" s="28"/>
      <c r="Q232" s="28"/>
      <c r="R232" s="28"/>
    </row>
    <row r="233" spans="1:18" s="2" customFormat="1" ht="12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74"/>
      <c r="L233" s="30"/>
      <c r="M233" s="30"/>
      <c r="N233" s="28"/>
      <c r="O233" s="28"/>
      <c r="P233" s="28"/>
      <c r="Q233" s="28"/>
      <c r="R233" s="28"/>
    </row>
    <row r="234" spans="1:18" s="2" customFormat="1" ht="12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74"/>
      <c r="L234" s="30"/>
      <c r="M234" s="30"/>
      <c r="N234" s="28"/>
      <c r="O234" s="28"/>
      <c r="P234" s="28"/>
      <c r="Q234" s="28"/>
      <c r="R234" s="28"/>
    </row>
    <row r="235" spans="1:18" s="2" customFormat="1" ht="12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74"/>
      <c r="L235" s="30"/>
      <c r="M235" s="30"/>
      <c r="N235" s="28"/>
      <c r="O235" s="28"/>
      <c r="P235" s="28"/>
      <c r="Q235" s="28"/>
      <c r="R235" s="28"/>
    </row>
    <row r="236" spans="1:18" s="2" customFormat="1" ht="12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74"/>
      <c r="L236" s="30"/>
      <c r="M236" s="30"/>
      <c r="N236" s="28"/>
      <c r="O236" s="28"/>
      <c r="P236" s="28"/>
      <c r="Q236" s="28"/>
      <c r="R236" s="28"/>
    </row>
    <row r="237" spans="1:18" s="2" customFormat="1" ht="12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74"/>
      <c r="L237" s="30"/>
      <c r="M237" s="30"/>
      <c r="N237" s="28"/>
      <c r="O237" s="28"/>
      <c r="P237" s="28"/>
      <c r="Q237" s="28"/>
      <c r="R237" s="28"/>
    </row>
    <row r="238" spans="1:18" s="2" customFormat="1" ht="12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74"/>
      <c r="L238" s="30"/>
      <c r="M238" s="30"/>
      <c r="N238" s="28"/>
      <c r="O238" s="28"/>
      <c r="P238" s="28"/>
      <c r="Q238" s="28"/>
      <c r="R238" s="28"/>
    </row>
    <row r="239" spans="1:18" s="2" customFormat="1" ht="12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74"/>
      <c r="L239" s="30"/>
      <c r="M239" s="30"/>
      <c r="N239" s="28"/>
      <c r="O239" s="28"/>
      <c r="P239" s="28"/>
      <c r="Q239" s="28"/>
      <c r="R239" s="28"/>
    </row>
    <row r="240" spans="1:18" s="2" customFormat="1" ht="12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74"/>
      <c r="L240" s="30"/>
      <c r="M240" s="30"/>
      <c r="N240" s="28"/>
      <c r="O240" s="28"/>
      <c r="P240" s="28"/>
      <c r="Q240" s="28"/>
      <c r="R240" s="28"/>
    </row>
    <row r="241" spans="1:18" s="2" customFormat="1" ht="12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74"/>
      <c r="L241" s="30"/>
      <c r="M241" s="30"/>
      <c r="N241" s="28"/>
      <c r="O241" s="28"/>
      <c r="P241" s="28"/>
      <c r="Q241" s="28"/>
      <c r="R241" s="28"/>
    </row>
    <row r="242" spans="1:18" s="2" customFormat="1" ht="12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74"/>
      <c r="L242" s="30"/>
      <c r="M242" s="30"/>
      <c r="N242" s="28"/>
      <c r="O242" s="28"/>
      <c r="P242" s="28"/>
      <c r="Q242" s="28"/>
      <c r="R242" s="28"/>
    </row>
    <row r="243" spans="1:18" s="2" customFormat="1" ht="12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74"/>
      <c r="L243" s="30"/>
      <c r="M243" s="30"/>
      <c r="N243" s="28"/>
      <c r="O243" s="28"/>
      <c r="P243" s="28"/>
      <c r="Q243" s="28"/>
      <c r="R243" s="28"/>
    </row>
    <row r="244" spans="1:18" s="2" customFormat="1" ht="12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74"/>
      <c r="L244" s="30"/>
      <c r="M244" s="30"/>
      <c r="N244" s="28"/>
      <c r="O244" s="28"/>
      <c r="P244" s="28"/>
      <c r="Q244" s="28"/>
      <c r="R244" s="28"/>
    </row>
    <row r="245" spans="1:18" s="2" customFormat="1" ht="12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74"/>
      <c r="L245" s="30"/>
      <c r="M245" s="30"/>
      <c r="N245" s="28"/>
      <c r="O245" s="28"/>
      <c r="P245" s="28"/>
      <c r="Q245" s="28"/>
      <c r="R245" s="28"/>
    </row>
    <row r="246" spans="1:18" s="2" customFormat="1" ht="12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74"/>
      <c r="L246" s="30"/>
      <c r="M246" s="30"/>
      <c r="N246" s="28"/>
      <c r="O246" s="28"/>
      <c r="P246" s="28"/>
      <c r="Q246" s="28"/>
      <c r="R246" s="28"/>
    </row>
    <row r="247" spans="1:18" s="2" customFormat="1" ht="12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74"/>
      <c r="L247" s="30"/>
      <c r="M247" s="30"/>
      <c r="N247" s="28"/>
      <c r="O247" s="28"/>
      <c r="P247" s="28"/>
      <c r="Q247" s="28"/>
      <c r="R247" s="28"/>
    </row>
    <row r="248" spans="1:18" s="2" customFormat="1" ht="12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74"/>
      <c r="L248" s="30"/>
      <c r="M248" s="30"/>
      <c r="N248" s="28"/>
      <c r="O248" s="28"/>
      <c r="P248" s="28"/>
      <c r="Q248" s="28"/>
      <c r="R248" s="28"/>
    </row>
    <row r="249" spans="1:18" s="2" customFormat="1" ht="12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74"/>
      <c r="L249" s="30"/>
      <c r="M249" s="30"/>
      <c r="N249" s="28"/>
      <c r="O249" s="28"/>
      <c r="P249" s="28"/>
      <c r="Q249" s="28"/>
      <c r="R249" s="28"/>
    </row>
    <row r="250" spans="1:18" s="2" customFormat="1" ht="12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74"/>
      <c r="L250" s="30"/>
      <c r="M250" s="30"/>
      <c r="N250" s="28"/>
      <c r="O250" s="28"/>
      <c r="P250" s="28"/>
      <c r="Q250" s="28"/>
      <c r="R250" s="28"/>
    </row>
    <row r="251" spans="1:18" s="2" customFormat="1" ht="12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74"/>
      <c r="L251" s="30"/>
      <c r="M251" s="30"/>
      <c r="N251" s="28"/>
      <c r="O251" s="28"/>
      <c r="P251" s="28"/>
      <c r="Q251" s="28"/>
      <c r="R251" s="28"/>
    </row>
    <row r="252" spans="1:18" s="2" customFormat="1" ht="12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74"/>
      <c r="L252" s="30"/>
      <c r="M252" s="30"/>
      <c r="N252" s="28"/>
      <c r="O252" s="28"/>
      <c r="P252" s="28"/>
      <c r="Q252" s="28"/>
      <c r="R252" s="28"/>
    </row>
    <row r="253" spans="1:18" s="2" customFormat="1" ht="12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74"/>
      <c r="L253" s="30"/>
      <c r="M253" s="30"/>
      <c r="N253" s="28"/>
      <c r="O253" s="28"/>
      <c r="P253" s="28"/>
      <c r="Q253" s="28"/>
      <c r="R253" s="28"/>
    </row>
    <row r="254" spans="1:18" s="2" customFormat="1" ht="12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74"/>
      <c r="L254" s="30"/>
      <c r="M254" s="30"/>
      <c r="N254" s="28"/>
      <c r="O254" s="28"/>
      <c r="P254" s="28"/>
      <c r="Q254" s="28"/>
      <c r="R254" s="28"/>
    </row>
    <row r="255" spans="1:18" s="2" customFormat="1" ht="12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74"/>
      <c r="L255" s="30"/>
      <c r="M255" s="30"/>
      <c r="N255" s="28"/>
      <c r="O255" s="28"/>
      <c r="P255" s="28"/>
      <c r="Q255" s="28"/>
      <c r="R255" s="28"/>
    </row>
    <row r="256" spans="1:18" s="2" customFormat="1" ht="12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74"/>
      <c r="L256" s="30"/>
      <c r="M256" s="30"/>
      <c r="N256" s="28"/>
      <c r="O256" s="28"/>
      <c r="P256" s="28"/>
      <c r="Q256" s="28"/>
      <c r="R256" s="28"/>
    </row>
    <row r="257" spans="1:18" s="2" customFormat="1" ht="12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74"/>
      <c r="L257" s="30"/>
      <c r="M257" s="30"/>
      <c r="N257" s="28"/>
      <c r="O257" s="28"/>
      <c r="P257" s="28"/>
      <c r="Q257" s="28"/>
      <c r="R257" s="28"/>
    </row>
    <row r="258" spans="1:18" s="2" customFormat="1" ht="12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74"/>
      <c r="L258" s="30"/>
      <c r="M258" s="30"/>
      <c r="N258" s="28"/>
      <c r="O258" s="28"/>
      <c r="P258" s="28"/>
      <c r="Q258" s="28"/>
      <c r="R258" s="28"/>
    </row>
    <row r="259" spans="1:18" s="2" customFormat="1" ht="12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74"/>
      <c r="L259" s="30"/>
      <c r="M259" s="30"/>
      <c r="N259" s="28"/>
      <c r="O259" s="28"/>
      <c r="P259" s="28"/>
      <c r="Q259" s="28"/>
      <c r="R259" s="28"/>
    </row>
    <row r="260" spans="1:18" s="2" customFormat="1" ht="12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74"/>
      <c r="L260" s="30"/>
      <c r="M260" s="30"/>
      <c r="N260" s="28"/>
      <c r="O260" s="28"/>
      <c r="P260" s="28"/>
      <c r="Q260" s="28"/>
      <c r="R260" s="28"/>
    </row>
    <row r="261" spans="1:18" s="2" customFormat="1" ht="12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74"/>
      <c r="L261" s="30"/>
      <c r="M261" s="30"/>
      <c r="N261" s="28"/>
      <c r="O261" s="28"/>
      <c r="P261" s="28"/>
      <c r="Q261" s="28"/>
      <c r="R261" s="28"/>
    </row>
    <row r="262" spans="1:18" s="2" customFormat="1" ht="12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74"/>
      <c r="L262" s="30"/>
      <c r="M262" s="30"/>
      <c r="N262" s="28"/>
      <c r="O262" s="28"/>
      <c r="P262" s="28"/>
      <c r="Q262" s="28"/>
      <c r="R262" s="28"/>
    </row>
    <row r="263" spans="1:18" s="2" customFormat="1" ht="12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74"/>
      <c r="L263" s="30"/>
      <c r="M263" s="30"/>
      <c r="N263" s="28"/>
      <c r="O263" s="28"/>
      <c r="P263" s="28"/>
      <c r="Q263" s="28"/>
      <c r="R263" s="28"/>
    </row>
    <row r="264" spans="1:18" s="2" customFormat="1" ht="12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74"/>
      <c r="L264" s="30"/>
      <c r="M264" s="30"/>
      <c r="N264" s="28"/>
      <c r="O264" s="28"/>
      <c r="P264" s="28"/>
      <c r="Q264" s="28"/>
      <c r="R264" s="28"/>
    </row>
    <row r="265" spans="1:18" s="2" customFormat="1" ht="12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74"/>
      <c r="L265" s="30"/>
      <c r="M265" s="30"/>
      <c r="N265" s="28"/>
      <c r="O265" s="28"/>
      <c r="P265" s="28"/>
      <c r="Q265" s="28"/>
      <c r="R265" s="28"/>
    </row>
    <row r="266" spans="1:18" s="2" customFormat="1" ht="12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74"/>
      <c r="L266" s="30"/>
      <c r="M266" s="30"/>
      <c r="N266" s="28"/>
      <c r="O266" s="28"/>
      <c r="P266" s="28"/>
      <c r="Q266" s="28"/>
      <c r="R266" s="28"/>
    </row>
    <row r="267" spans="1:18" s="2" customFormat="1" ht="12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74"/>
      <c r="L267" s="30"/>
      <c r="M267" s="30"/>
      <c r="N267" s="28"/>
      <c r="O267" s="28"/>
      <c r="P267" s="28"/>
      <c r="Q267" s="28"/>
      <c r="R267" s="28"/>
    </row>
    <row r="268" spans="1:18" s="2" customFormat="1" ht="12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74"/>
      <c r="L268" s="30"/>
      <c r="M268" s="30"/>
      <c r="N268" s="28"/>
      <c r="O268" s="28"/>
      <c r="P268" s="28"/>
      <c r="Q268" s="28"/>
      <c r="R268" s="28"/>
    </row>
    <row r="269" spans="1:18" s="2" customFormat="1" ht="12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74"/>
      <c r="L269" s="30"/>
      <c r="M269" s="30"/>
      <c r="N269" s="28"/>
      <c r="O269" s="28"/>
      <c r="P269" s="28"/>
      <c r="Q269" s="28"/>
      <c r="R269" s="28"/>
    </row>
    <row r="270" spans="1:18" s="2" customFormat="1" ht="12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74"/>
      <c r="L270" s="30"/>
      <c r="M270" s="30"/>
      <c r="N270" s="28"/>
      <c r="O270" s="28"/>
      <c r="P270" s="28"/>
      <c r="Q270" s="28"/>
      <c r="R270" s="28"/>
    </row>
    <row r="271" spans="1:18" s="2" customFormat="1" ht="12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74"/>
      <c r="L271" s="30"/>
      <c r="M271" s="30"/>
      <c r="N271" s="28"/>
      <c r="O271" s="28"/>
      <c r="P271" s="28"/>
      <c r="Q271" s="28"/>
      <c r="R271" s="28"/>
    </row>
    <row r="272" spans="1:18" s="2" customFormat="1" ht="12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74"/>
      <c r="L272" s="30"/>
      <c r="M272" s="30"/>
      <c r="N272" s="28"/>
      <c r="O272" s="28"/>
      <c r="P272" s="28"/>
      <c r="Q272" s="28"/>
      <c r="R272" s="28"/>
    </row>
    <row r="273" spans="1:18" s="2" customFormat="1" ht="12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74"/>
      <c r="L273" s="30"/>
      <c r="M273" s="30"/>
      <c r="N273" s="28"/>
      <c r="O273" s="28"/>
      <c r="P273" s="28"/>
      <c r="Q273" s="28"/>
      <c r="R273" s="28"/>
    </row>
    <row r="274" spans="1:18" s="2" customFormat="1" ht="12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75"/>
      <c r="L274" s="28"/>
      <c r="M274" s="28"/>
      <c r="N274" s="28"/>
      <c r="O274" s="28"/>
      <c r="P274" s="28"/>
      <c r="Q274" s="28"/>
      <c r="R274" s="28"/>
    </row>
    <row r="275" spans="1:18" s="2" customFormat="1" ht="12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75"/>
      <c r="L275" s="28"/>
      <c r="M275" s="28"/>
      <c r="N275" s="28"/>
      <c r="O275" s="28"/>
      <c r="P275" s="28"/>
      <c r="Q275" s="28"/>
      <c r="R275" s="28"/>
    </row>
    <row r="276" spans="1:18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L276" s="4"/>
      <c r="M276" s="4"/>
      <c r="N276" s="4"/>
      <c r="O276" s="4"/>
      <c r="P276" s="4"/>
      <c r="Q276" s="4"/>
      <c r="R276" s="4"/>
    </row>
    <row r="277" spans="1:18" ht="12.75" customHeight="1">
      <c r="A277" s="7"/>
      <c r="B277" s="7"/>
      <c r="C277" s="7"/>
      <c r="D277" s="7"/>
      <c r="E277" s="7"/>
      <c r="F277" s="7"/>
      <c r="G277" s="7"/>
      <c r="H277" s="7"/>
    </row>
    <row r="278" spans="1:18" ht="12.75" customHeight="1">
      <c r="A278" s="7"/>
      <c r="B278" s="7"/>
      <c r="C278" s="7"/>
      <c r="D278" s="7"/>
      <c r="E278" s="7"/>
      <c r="F278" s="7"/>
      <c r="G278" s="7"/>
      <c r="H278" s="7"/>
    </row>
    <row r="279" spans="1:18" ht="12.75" customHeight="1">
      <c r="A279" s="7"/>
      <c r="B279" s="7"/>
      <c r="C279" s="7"/>
      <c r="D279" s="7"/>
      <c r="E279" s="7"/>
      <c r="F279" s="7"/>
      <c r="G279" s="7"/>
      <c r="H279" s="7"/>
    </row>
    <row r="280" spans="1:18" ht="12.75" customHeight="1">
      <c r="A280" s="7"/>
      <c r="B280" s="7"/>
      <c r="C280" s="7"/>
      <c r="D280" s="7"/>
      <c r="E280" s="7"/>
      <c r="F280" s="7"/>
      <c r="G280" s="7"/>
      <c r="H280" s="7"/>
    </row>
    <row r="281" spans="1:18" ht="12.75" customHeight="1">
      <c r="A281" s="7"/>
      <c r="B281" s="7"/>
      <c r="C281" s="7"/>
      <c r="D281" s="7"/>
      <c r="E281" s="7"/>
      <c r="F281" s="7"/>
      <c r="G281" s="7"/>
      <c r="H281" s="7"/>
    </row>
  </sheetData>
  <sheetProtection formatCells="0" formatColumns="0" formatRows="0" insertColumns="0" insertRows="0" sort="0"/>
  <mergeCells count="14">
    <mergeCell ref="A151:D151"/>
    <mergeCell ref="L151:M151"/>
    <mergeCell ref="A1:M1"/>
    <mergeCell ref="A2:M2"/>
    <mergeCell ref="A3:E3"/>
    <mergeCell ref="G3:J3"/>
    <mergeCell ref="A4:E4"/>
    <mergeCell ref="G4:J4"/>
    <mergeCell ref="L4:M4"/>
    <mergeCell ref="A5:M5"/>
    <mergeCell ref="A147:D147"/>
    <mergeCell ref="L147:M147"/>
    <mergeCell ref="A149:D149"/>
    <mergeCell ref="L149:M149"/>
  </mergeCells>
  <pageMargins left="0.70866141732283472" right="0.70866141732283472" top="0.35433070866141736" bottom="0.35433070866141736" header="0.59055118110236227" footer="0.59055118110236227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L84"/>
  <sheetViews>
    <sheetView tabSelected="1" topLeftCell="B19" workbookViewId="0">
      <selection activeCell="L49" sqref="L49:L53"/>
    </sheetView>
  </sheetViews>
  <sheetFormatPr defaultRowHeight="12.75"/>
  <cols>
    <col min="1" max="1" width="52.42578125" customWidth="1"/>
    <col min="2" max="2" width="25.7109375" customWidth="1"/>
    <col min="9" max="9" width="9.140625" customWidth="1"/>
    <col min="10" max="10" width="9" customWidth="1"/>
    <col min="11" max="11" width="31.85546875" customWidth="1"/>
    <col min="12" max="12" width="18.140625" customWidth="1"/>
  </cols>
  <sheetData>
    <row r="6" spans="1:5">
      <c r="A6" s="23"/>
      <c r="B6" s="23"/>
    </row>
    <row r="7" spans="1:5">
      <c r="A7" s="23"/>
      <c r="B7" s="23"/>
    </row>
    <row r="10" spans="1:5">
      <c r="A10" s="23"/>
      <c r="B10" s="23"/>
    </row>
    <row r="11" spans="1:5">
      <c r="A11" s="23"/>
      <c r="B11" s="23"/>
    </row>
    <row r="12" spans="1:5">
      <c r="A12" s="89"/>
      <c r="B12" s="89"/>
    </row>
    <row r="13" spans="1:5">
      <c r="A13" s="81"/>
      <c r="B13" s="81"/>
      <c r="C13" s="92"/>
      <c r="D13" s="92"/>
      <c r="E13" s="92"/>
    </row>
    <row r="14" spans="1:5">
      <c r="A14" s="81"/>
      <c r="B14" s="81"/>
      <c r="C14" s="92"/>
      <c r="D14" s="92"/>
      <c r="E14" s="92"/>
    </row>
    <row r="15" spans="1:5">
      <c r="A15" s="81"/>
      <c r="B15" s="81"/>
      <c r="C15" s="92"/>
      <c r="D15" s="92"/>
      <c r="E15" s="92"/>
    </row>
    <row r="16" spans="1:5">
      <c r="A16" s="81"/>
      <c r="B16" s="81"/>
      <c r="C16" s="92"/>
      <c r="D16" s="92"/>
      <c r="E16" s="92"/>
    </row>
    <row r="17" spans="1:12">
      <c r="A17" s="81"/>
      <c r="B17" s="81"/>
      <c r="C17" s="92"/>
      <c r="D17" s="92"/>
      <c r="E17" s="92"/>
    </row>
    <row r="18" spans="1:12">
      <c r="A18" s="81"/>
      <c r="B18" s="81"/>
      <c r="C18" s="92"/>
      <c r="D18" s="92"/>
      <c r="E18" s="92"/>
    </row>
    <row r="19" spans="1:12">
      <c r="A19" s="81"/>
      <c r="B19" s="81"/>
      <c r="C19" s="92"/>
      <c r="D19" s="92"/>
      <c r="E19" s="92"/>
    </row>
    <row r="20" spans="1:12">
      <c r="A20" s="81"/>
      <c r="B20" s="81"/>
      <c r="C20" s="92"/>
      <c r="D20" s="92"/>
      <c r="E20" s="92"/>
    </row>
    <row r="21" spans="1:12" ht="13.5" thickBot="1">
      <c r="A21" s="81"/>
      <c r="B21" s="81"/>
      <c r="C21" s="92"/>
      <c r="D21" s="92"/>
      <c r="E21" s="92"/>
    </row>
    <row r="22" spans="1:12" ht="13.5" thickBot="1">
      <c r="A22" s="366"/>
      <c r="B22" s="367"/>
      <c r="C22" s="370" t="s">
        <v>250</v>
      </c>
      <c r="D22" s="371"/>
      <c r="E22" s="372"/>
      <c r="F22" s="371" t="s">
        <v>249</v>
      </c>
      <c r="G22" s="371"/>
      <c r="H22" s="372"/>
      <c r="I22" s="236"/>
      <c r="J22" s="254"/>
      <c r="K22" s="254"/>
      <c r="L22" s="254" t="s">
        <v>748</v>
      </c>
    </row>
    <row r="23" spans="1:12" ht="13.5" thickBot="1">
      <c r="A23" s="368"/>
      <c r="B23" s="369"/>
      <c r="C23" s="102">
        <v>1</v>
      </c>
      <c r="D23" s="223">
        <v>2</v>
      </c>
      <c r="E23" s="103">
        <v>3</v>
      </c>
      <c r="F23" s="102">
        <v>1</v>
      </c>
      <c r="G23" s="223">
        <v>2</v>
      </c>
      <c r="H23" s="103">
        <v>3</v>
      </c>
      <c r="I23" s="178" t="s">
        <v>252</v>
      </c>
      <c r="J23" s="178" t="s">
        <v>251</v>
      </c>
      <c r="K23" s="179" t="s">
        <v>734</v>
      </c>
      <c r="L23" s="103"/>
    </row>
    <row r="24" spans="1:12">
      <c r="A24" s="344" t="s">
        <v>716</v>
      </c>
      <c r="B24" s="162" t="s">
        <v>256</v>
      </c>
      <c r="C24" s="228">
        <v>2</v>
      </c>
      <c r="D24" s="91">
        <v>0</v>
      </c>
      <c r="E24" s="224">
        <v>0</v>
      </c>
      <c r="F24" s="344">
        <f t="shared" ref="F24:G24" si="0">SUM(C24:C25)</f>
        <v>2</v>
      </c>
      <c r="G24" s="344">
        <f t="shared" si="0"/>
        <v>3</v>
      </c>
      <c r="H24" s="344">
        <f>SUM(E24:E25)</f>
        <v>5</v>
      </c>
      <c r="I24" s="300">
        <f>F24+G24</f>
        <v>5</v>
      </c>
      <c r="J24" s="303">
        <f>F24+G24+H24</f>
        <v>10</v>
      </c>
      <c r="K24" s="268" t="s">
        <v>735</v>
      </c>
      <c r="L24" s="338">
        <v>5</v>
      </c>
    </row>
    <row r="25" spans="1:12" ht="13.5" thickBot="1">
      <c r="A25" s="345"/>
      <c r="B25" s="225" t="s">
        <v>257</v>
      </c>
      <c r="C25" s="226">
        <v>0</v>
      </c>
      <c r="D25" s="231">
        <v>3</v>
      </c>
      <c r="E25" s="248">
        <v>5</v>
      </c>
      <c r="F25" s="345"/>
      <c r="G25" s="345"/>
      <c r="H25" s="345"/>
      <c r="I25" s="302"/>
      <c r="J25" s="305"/>
      <c r="K25" s="270"/>
      <c r="L25" s="339"/>
    </row>
    <row r="26" spans="1:12">
      <c r="A26" s="382" t="s">
        <v>717</v>
      </c>
      <c r="B26" s="216" t="s">
        <v>184</v>
      </c>
      <c r="C26" s="217">
        <v>0</v>
      </c>
      <c r="D26" s="228">
        <v>1</v>
      </c>
      <c r="E26" s="218">
        <v>2</v>
      </c>
      <c r="F26" s="346">
        <f t="shared" ref="F26:G26" si="1">SUM(C26:C27)</f>
        <v>2</v>
      </c>
      <c r="G26" s="346">
        <f t="shared" si="1"/>
        <v>2</v>
      </c>
      <c r="H26" s="346">
        <f>SUM(E26:E27)</f>
        <v>8</v>
      </c>
      <c r="I26" s="348">
        <f>F26+G26</f>
        <v>4</v>
      </c>
      <c r="J26" s="336">
        <f>F26+G26+H26</f>
        <v>12</v>
      </c>
      <c r="K26" s="340" t="s">
        <v>736</v>
      </c>
      <c r="L26" s="342">
        <v>7</v>
      </c>
    </row>
    <row r="27" spans="1:12" ht="13.5" thickBot="1">
      <c r="A27" s="383"/>
      <c r="B27" s="219" t="s">
        <v>258</v>
      </c>
      <c r="C27" s="231">
        <v>2</v>
      </c>
      <c r="D27" s="231">
        <v>1</v>
      </c>
      <c r="E27" s="248">
        <v>6</v>
      </c>
      <c r="F27" s="347"/>
      <c r="G27" s="347"/>
      <c r="H27" s="347"/>
      <c r="I27" s="349"/>
      <c r="J27" s="337"/>
      <c r="K27" s="341"/>
      <c r="L27" s="343"/>
    </row>
    <row r="28" spans="1:12" ht="13.5" thickBot="1">
      <c r="A28" s="93" t="s">
        <v>259</v>
      </c>
      <c r="B28" s="220" t="s">
        <v>260</v>
      </c>
      <c r="C28" s="221">
        <v>0</v>
      </c>
      <c r="D28" s="221">
        <v>2</v>
      </c>
      <c r="E28" s="222">
        <v>3</v>
      </c>
      <c r="F28" s="237">
        <f t="shared" ref="F28:G28" si="2">C28</f>
        <v>0</v>
      </c>
      <c r="G28" s="237">
        <f t="shared" si="2"/>
        <v>2</v>
      </c>
      <c r="H28" s="237">
        <f>E28</f>
        <v>3</v>
      </c>
      <c r="I28" s="239">
        <f>F28+G28</f>
        <v>2</v>
      </c>
      <c r="J28" s="250">
        <f>F28+G28+H28</f>
        <v>5</v>
      </c>
      <c r="K28" s="253" t="s">
        <v>737</v>
      </c>
      <c r="L28" s="110">
        <v>8</v>
      </c>
    </row>
    <row r="29" spans="1:12">
      <c r="A29" s="373" t="s">
        <v>715</v>
      </c>
      <c r="B29" s="213" t="s">
        <v>261</v>
      </c>
      <c r="C29" s="228">
        <v>6</v>
      </c>
      <c r="D29" s="214">
        <v>0</v>
      </c>
      <c r="E29" s="242">
        <v>2</v>
      </c>
      <c r="F29" s="373">
        <f t="shared" ref="F29:G29" si="3">SUM(C29:C31)</f>
        <v>7</v>
      </c>
      <c r="G29" s="373">
        <f t="shared" si="3"/>
        <v>1</v>
      </c>
      <c r="H29" s="373">
        <f>SUM(E29:E31)</f>
        <v>5</v>
      </c>
      <c r="I29" s="376">
        <f>F29+G29</f>
        <v>8</v>
      </c>
      <c r="J29" s="379">
        <f>F29+G29+H29</f>
        <v>13</v>
      </c>
      <c r="K29" s="363" t="s">
        <v>745</v>
      </c>
      <c r="L29" s="399">
        <v>3</v>
      </c>
    </row>
    <row r="30" spans="1:12">
      <c r="A30" s="374"/>
      <c r="B30" s="163" t="s">
        <v>262</v>
      </c>
      <c r="C30" s="90">
        <v>0</v>
      </c>
      <c r="D30" s="90">
        <v>0</v>
      </c>
      <c r="E30" s="177">
        <v>0</v>
      </c>
      <c r="F30" s="374"/>
      <c r="G30" s="374"/>
      <c r="H30" s="374"/>
      <c r="I30" s="377"/>
      <c r="J30" s="380"/>
      <c r="K30" s="364"/>
      <c r="L30" s="400"/>
    </row>
    <row r="31" spans="1:12" ht="13.5" thickBot="1">
      <c r="A31" s="375"/>
      <c r="B31" s="215" t="s">
        <v>263</v>
      </c>
      <c r="C31" s="231">
        <v>1</v>
      </c>
      <c r="D31" s="231">
        <v>1</v>
      </c>
      <c r="E31" s="249">
        <v>3</v>
      </c>
      <c r="F31" s="375"/>
      <c r="G31" s="375"/>
      <c r="H31" s="375"/>
      <c r="I31" s="378"/>
      <c r="J31" s="381"/>
      <c r="K31" s="365"/>
      <c r="L31" s="401"/>
    </row>
    <row r="32" spans="1:12" ht="15" customHeight="1">
      <c r="A32" s="332" t="s">
        <v>719</v>
      </c>
      <c r="B32" s="210" t="s">
        <v>264</v>
      </c>
      <c r="C32" s="228">
        <v>2</v>
      </c>
      <c r="D32" s="229">
        <v>2</v>
      </c>
      <c r="E32" s="230">
        <v>2</v>
      </c>
      <c r="F32" s="274">
        <f t="shared" ref="F32:G32" si="4">SUM(C32:C33)</f>
        <v>2</v>
      </c>
      <c r="G32" s="274">
        <f t="shared" si="4"/>
        <v>3</v>
      </c>
      <c r="H32" s="274">
        <f>SUM(E32:E33)</f>
        <v>4</v>
      </c>
      <c r="I32" s="276">
        <f>F32+G32</f>
        <v>5</v>
      </c>
      <c r="J32" s="278">
        <f>F32+G32+H32</f>
        <v>9</v>
      </c>
      <c r="K32" s="280" t="s">
        <v>738</v>
      </c>
      <c r="L32" s="274">
        <v>6</v>
      </c>
    </row>
    <row r="33" spans="1:12" ht="15" customHeight="1" thickBot="1">
      <c r="A33" s="333"/>
      <c r="B33" s="211" t="s">
        <v>265</v>
      </c>
      <c r="C33" s="212">
        <v>0</v>
      </c>
      <c r="D33" s="232">
        <v>1</v>
      </c>
      <c r="E33" s="233">
        <v>2</v>
      </c>
      <c r="F33" s="275"/>
      <c r="G33" s="275"/>
      <c r="H33" s="275"/>
      <c r="I33" s="277"/>
      <c r="J33" s="279"/>
      <c r="K33" s="281"/>
      <c r="L33" s="275"/>
    </row>
    <row r="34" spans="1:12" ht="18.75" customHeight="1" thickBot="1">
      <c r="A34" s="164" t="s">
        <v>720</v>
      </c>
      <c r="B34" s="205" t="s">
        <v>267</v>
      </c>
      <c r="C34" s="206">
        <v>0</v>
      </c>
      <c r="D34" s="246">
        <v>2</v>
      </c>
      <c r="E34" s="247">
        <v>1</v>
      </c>
      <c r="F34" s="165">
        <f t="shared" ref="F34:G34" si="5">C34</f>
        <v>0</v>
      </c>
      <c r="G34" s="165">
        <f t="shared" si="5"/>
        <v>2</v>
      </c>
      <c r="H34" s="165">
        <f>E34</f>
        <v>1</v>
      </c>
      <c r="I34" s="207">
        <f>F34+G34</f>
        <v>2</v>
      </c>
      <c r="J34" s="208">
        <f>F34+G34+H34</f>
        <v>3</v>
      </c>
      <c r="K34" s="209" t="s">
        <v>739</v>
      </c>
      <c r="L34" s="166">
        <v>9</v>
      </c>
    </row>
    <row r="35" spans="1:12">
      <c r="A35" s="294" t="s">
        <v>724</v>
      </c>
      <c r="B35" s="234" t="s">
        <v>253</v>
      </c>
      <c r="C35" s="91">
        <v>0</v>
      </c>
      <c r="D35" s="183">
        <v>0</v>
      </c>
      <c r="E35" s="184">
        <v>0</v>
      </c>
      <c r="F35" s="297">
        <f t="shared" ref="F35:G35" si="6">SUM(C35:C37)</f>
        <v>1</v>
      </c>
      <c r="G35" s="297">
        <f t="shared" si="6"/>
        <v>0</v>
      </c>
      <c r="H35" s="297">
        <f>SUM(E35:E37)</f>
        <v>1</v>
      </c>
      <c r="I35" s="300">
        <f>F35+G35</f>
        <v>1</v>
      </c>
      <c r="J35" s="303">
        <f>F35+G35+H35</f>
        <v>2</v>
      </c>
      <c r="K35" s="268" t="s">
        <v>740</v>
      </c>
      <c r="L35" s="271">
        <v>10</v>
      </c>
    </row>
    <row r="36" spans="1:12" ht="13.5" thickBot="1">
      <c r="A36" s="295"/>
      <c r="B36" s="235" t="s">
        <v>254</v>
      </c>
      <c r="C36" s="226">
        <v>0</v>
      </c>
      <c r="D36" s="185">
        <v>0</v>
      </c>
      <c r="E36" s="186">
        <v>0</v>
      </c>
      <c r="F36" s="298"/>
      <c r="G36" s="298"/>
      <c r="H36" s="298"/>
      <c r="I36" s="301"/>
      <c r="J36" s="304"/>
      <c r="K36" s="269"/>
      <c r="L36" s="272"/>
    </row>
    <row r="37" spans="1:12" ht="13.5" thickBot="1">
      <c r="A37" s="296"/>
      <c r="B37" s="235" t="s">
        <v>255</v>
      </c>
      <c r="C37" s="231">
        <v>1</v>
      </c>
      <c r="D37" s="185"/>
      <c r="E37" s="233">
        <v>1</v>
      </c>
      <c r="F37" s="299"/>
      <c r="G37" s="299"/>
      <c r="H37" s="299"/>
      <c r="I37" s="302"/>
      <c r="J37" s="305"/>
      <c r="K37" s="270"/>
      <c r="L37" s="273"/>
    </row>
    <row r="38" spans="1:12">
      <c r="A38" s="334" t="s">
        <v>721</v>
      </c>
      <c r="B38" s="227" t="s">
        <v>268</v>
      </c>
      <c r="C38" s="200">
        <v>0</v>
      </c>
      <c r="D38" s="201">
        <v>0</v>
      </c>
      <c r="E38" s="230">
        <v>2</v>
      </c>
      <c r="F38" s="330">
        <f t="shared" ref="F38:G38" si="7">SUM(C38:C39)</f>
        <v>0</v>
      </c>
      <c r="G38" s="330">
        <f t="shared" si="7"/>
        <v>1</v>
      </c>
      <c r="H38" s="330">
        <f>SUM(E38:E39)</f>
        <v>2</v>
      </c>
      <c r="I38" s="359">
        <f>F38+G38</f>
        <v>1</v>
      </c>
      <c r="J38" s="361">
        <f>F38+G38+H38</f>
        <v>3</v>
      </c>
      <c r="K38" s="306" t="s">
        <v>741</v>
      </c>
      <c r="L38" s="308">
        <v>11</v>
      </c>
    </row>
    <row r="39" spans="1:12" ht="13.5" thickBot="1">
      <c r="A39" s="335"/>
      <c r="B39" s="202" t="s">
        <v>269</v>
      </c>
      <c r="C39" s="203">
        <v>0</v>
      </c>
      <c r="D39" s="232">
        <v>1</v>
      </c>
      <c r="E39" s="204">
        <v>0</v>
      </c>
      <c r="F39" s="331"/>
      <c r="G39" s="331"/>
      <c r="H39" s="331"/>
      <c r="I39" s="360"/>
      <c r="J39" s="362"/>
      <c r="K39" s="307"/>
      <c r="L39" s="309"/>
    </row>
    <row r="40" spans="1:12" ht="18.75" customHeight="1" thickBot="1">
      <c r="A40" s="195" t="s">
        <v>722</v>
      </c>
      <c r="B40" s="196" t="s">
        <v>270</v>
      </c>
      <c r="C40" s="197">
        <v>0</v>
      </c>
      <c r="D40" s="198">
        <v>0</v>
      </c>
      <c r="E40" s="199">
        <v>3</v>
      </c>
      <c r="F40" s="238">
        <f t="shared" ref="F40:G40" si="8">SUM(C40)</f>
        <v>0</v>
      </c>
      <c r="G40" s="238">
        <f t="shared" si="8"/>
        <v>0</v>
      </c>
      <c r="H40" s="238">
        <f>SUM(E40)</f>
        <v>3</v>
      </c>
      <c r="I40" s="240">
        <f>F40+G40</f>
        <v>0</v>
      </c>
      <c r="J40" s="251">
        <f>F40+G40+H40</f>
        <v>3</v>
      </c>
      <c r="K40" s="252" t="s">
        <v>742</v>
      </c>
      <c r="L40" s="255">
        <v>12</v>
      </c>
    </row>
    <row r="41" spans="1:12" ht="12.75" customHeight="1">
      <c r="A41" s="310" t="s">
        <v>718</v>
      </c>
      <c r="B41" s="193" t="s">
        <v>266</v>
      </c>
      <c r="C41" s="228">
        <v>5</v>
      </c>
      <c r="D41" s="229">
        <v>2</v>
      </c>
      <c r="E41" s="230">
        <v>2</v>
      </c>
      <c r="F41" s="310">
        <f t="shared" ref="F41:G41" si="9">SUM(C41:C43)</f>
        <v>6</v>
      </c>
      <c r="G41" s="310">
        <f t="shared" si="9"/>
        <v>2</v>
      </c>
      <c r="H41" s="310">
        <f>SUM(E41:E43)</f>
        <v>2</v>
      </c>
      <c r="I41" s="313">
        <f>F41+G41</f>
        <v>8</v>
      </c>
      <c r="J41" s="316">
        <f>F41+G41+H41</f>
        <v>10</v>
      </c>
      <c r="K41" s="319" t="s">
        <v>743</v>
      </c>
      <c r="L41" s="322">
        <v>4</v>
      </c>
    </row>
    <row r="42" spans="1:12">
      <c r="A42" s="311"/>
      <c r="B42" s="170" t="s">
        <v>154</v>
      </c>
      <c r="C42" s="171">
        <v>0</v>
      </c>
      <c r="D42" s="172">
        <v>0</v>
      </c>
      <c r="E42" s="173">
        <v>0</v>
      </c>
      <c r="F42" s="311"/>
      <c r="G42" s="311"/>
      <c r="H42" s="311"/>
      <c r="I42" s="314"/>
      <c r="J42" s="317"/>
      <c r="K42" s="320"/>
      <c r="L42" s="323"/>
    </row>
    <row r="43" spans="1:12" ht="13.5" thickBot="1">
      <c r="A43" s="312"/>
      <c r="B43" s="194" t="s">
        <v>153</v>
      </c>
      <c r="C43" s="231">
        <v>1</v>
      </c>
      <c r="D43" s="175">
        <v>0</v>
      </c>
      <c r="E43" s="174">
        <v>0</v>
      </c>
      <c r="F43" s="312"/>
      <c r="G43" s="312"/>
      <c r="H43" s="312"/>
      <c r="I43" s="315"/>
      <c r="J43" s="318"/>
      <c r="K43" s="321"/>
      <c r="L43" s="324"/>
    </row>
    <row r="44" spans="1:12">
      <c r="A44" s="282" t="s">
        <v>276</v>
      </c>
      <c r="B44" s="187" t="s">
        <v>723</v>
      </c>
      <c r="C44" s="228">
        <v>2</v>
      </c>
      <c r="D44" s="188">
        <v>0</v>
      </c>
      <c r="E44" s="189">
        <v>1</v>
      </c>
      <c r="F44" s="282">
        <f t="shared" ref="F44:G44" si="10">SUM(C44:C48)</f>
        <v>6</v>
      </c>
      <c r="G44" s="282">
        <f t="shared" si="10"/>
        <v>8</v>
      </c>
      <c r="H44" s="282">
        <f>SUM(E44:E48)</f>
        <v>16</v>
      </c>
      <c r="I44" s="285">
        <f>F44+G44</f>
        <v>14</v>
      </c>
      <c r="J44" s="288">
        <f>F44+G44+H44</f>
        <v>30</v>
      </c>
      <c r="K44" s="291" t="s">
        <v>744</v>
      </c>
      <c r="L44" s="394">
        <v>1</v>
      </c>
    </row>
    <row r="45" spans="1:12">
      <c r="A45" s="283"/>
      <c r="B45" s="167" t="s">
        <v>201</v>
      </c>
      <c r="C45" s="96">
        <v>2</v>
      </c>
      <c r="D45" s="97">
        <v>2</v>
      </c>
      <c r="E45" s="169">
        <v>9</v>
      </c>
      <c r="F45" s="283"/>
      <c r="G45" s="283"/>
      <c r="H45" s="283"/>
      <c r="I45" s="286"/>
      <c r="J45" s="289"/>
      <c r="K45" s="292"/>
      <c r="L45" s="395"/>
    </row>
    <row r="46" spans="1:12">
      <c r="A46" s="283"/>
      <c r="B46" s="167" t="s">
        <v>204</v>
      </c>
      <c r="C46" s="168"/>
      <c r="D46" s="97">
        <v>2</v>
      </c>
      <c r="E46" s="169">
        <v>4</v>
      </c>
      <c r="F46" s="283"/>
      <c r="G46" s="283"/>
      <c r="H46" s="283"/>
      <c r="I46" s="286"/>
      <c r="J46" s="289"/>
      <c r="K46" s="292"/>
      <c r="L46" s="395"/>
    </row>
    <row r="47" spans="1:12">
      <c r="A47" s="283"/>
      <c r="B47" s="167" t="s">
        <v>192</v>
      </c>
      <c r="C47" s="168">
        <v>0</v>
      </c>
      <c r="D47" s="168">
        <v>2</v>
      </c>
      <c r="E47" s="169">
        <v>1</v>
      </c>
      <c r="F47" s="283"/>
      <c r="G47" s="283"/>
      <c r="H47" s="283"/>
      <c r="I47" s="286"/>
      <c r="J47" s="289"/>
      <c r="K47" s="292"/>
      <c r="L47" s="395"/>
    </row>
    <row r="48" spans="1:12" ht="13.5" thickBot="1">
      <c r="A48" s="284"/>
      <c r="B48" s="190" t="s">
        <v>199</v>
      </c>
      <c r="C48" s="232">
        <v>2</v>
      </c>
      <c r="D48" s="191">
        <v>2</v>
      </c>
      <c r="E48" s="192">
        <v>1</v>
      </c>
      <c r="F48" s="284"/>
      <c r="G48" s="284"/>
      <c r="H48" s="284"/>
      <c r="I48" s="287"/>
      <c r="J48" s="290"/>
      <c r="K48" s="293"/>
      <c r="L48" s="396"/>
    </row>
    <row r="49" spans="1:12">
      <c r="A49" s="325" t="s">
        <v>271</v>
      </c>
      <c r="B49" s="181" t="s">
        <v>119</v>
      </c>
      <c r="C49" s="243">
        <v>3</v>
      </c>
      <c r="D49" s="244">
        <v>1</v>
      </c>
      <c r="E49" s="182">
        <v>4</v>
      </c>
      <c r="F49" s="327">
        <f>SUM(C49:C53)</f>
        <v>5</v>
      </c>
      <c r="G49" s="327">
        <f>SUM(D49:D53)</f>
        <v>7</v>
      </c>
      <c r="H49" s="327">
        <f>SUM(E49:E53)</f>
        <v>9</v>
      </c>
      <c r="I49" s="350">
        <f>F49+G49</f>
        <v>12</v>
      </c>
      <c r="J49" s="353">
        <f>F49+G49+H49</f>
        <v>21</v>
      </c>
      <c r="K49" s="356" t="s">
        <v>746</v>
      </c>
      <c r="L49" s="397">
        <v>2</v>
      </c>
    </row>
    <row r="50" spans="1:12">
      <c r="A50" s="325"/>
      <c r="B50" s="98" t="s">
        <v>272</v>
      </c>
      <c r="C50" s="96">
        <v>1</v>
      </c>
      <c r="D50" s="97">
        <v>1</v>
      </c>
      <c r="E50" s="101"/>
      <c r="F50" s="328"/>
      <c r="G50" s="328"/>
      <c r="H50" s="328"/>
      <c r="I50" s="351"/>
      <c r="J50" s="354"/>
      <c r="K50" s="357"/>
      <c r="L50" s="397"/>
    </row>
    <row r="51" spans="1:12">
      <c r="A51" s="325"/>
      <c r="B51" s="98" t="s">
        <v>273</v>
      </c>
      <c r="C51" s="99">
        <v>0</v>
      </c>
      <c r="D51" s="97">
        <v>2</v>
      </c>
      <c r="E51" s="101">
        <v>0</v>
      </c>
      <c r="F51" s="328"/>
      <c r="G51" s="328"/>
      <c r="H51" s="328"/>
      <c r="I51" s="351"/>
      <c r="J51" s="354"/>
      <c r="K51" s="357"/>
      <c r="L51" s="397"/>
    </row>
    <row r="52" spans="1:12">
      <c r="A52" s="325"/>
      <c r="B52" s="98" t="s">
        <v>274</v>
      </c>
      <c r="C52" s="96">
        <v>1</v>
      </c>
      <c r="D52" s="100">
        <v>1</v>
      </c>
      <c r="E52" s="101">
        <v>2</v>
      </c>
      <c r="F52" s="328"/>
      <c r="G52" s="328"/>
      <c r="H52" s="328"/>
      <c r="I52" s="351"/>
      <c r="J52" s="354"/>
      <c r="K52" s="357"/>
      <c r="L52" s="397"/>
    </row>
    <row r="53" spans="1:12" ht="13.5" thickBot="1">
      <c r="A53" s="326"/>
      <c r="B53" s="176" t="s">
        <v>110</v>
      </c>
      <c r="C53" s="99">
        <v>0</v>
      </c>
      <c r="D53" s="232">
        <v>2</v>
      </c>
      <c r="E53" s="101">
        <v>3</v>
      </c>
      <c r="F53" s="329"/>
      <c r="G53" s="329"/>
      <c r="H53" s="329"/>
      <c r="I53" s="352"/>
      <c r="J53" s="355"/>
      <c r="K53" s="358"/>
      <c r="L53" s="398"/>
    </row>
    <row r="54" spans="1:12" ht="13.5" thickBot="1">
      <c r="C54" s="93">
        <f>SUM(C24:C53)</f>
        <v>31</v>
      </c>
      <c r="D54" s="95">
        <f>SUM(D24:D53)</f>
        <v>31</v>
      </c>
      <c r="E54" s="94">
        <f>SUM(E24:E53)</f>
        <v>59</v>
      </c>
      <c r="F54" s="94">
        <f t="shared" ref="F54:L54" si="11">SUM(F24:F53)</f>
        <v>31</v>
      </c>
      <c r="G54" s="94">
        <f t="shared" si="11"/>
        <v>31</v>
      </c>
      <c r="H54" s="94">
        <f t="shared" si="11"/>
        <v>59</v>
      </c>
      <c r="I54" s="180">
        <f t="shared" si="11"/>
        <v>62</v>
      </c>
      <c r="J54" s="180">
        <f t="shared" si="11"/>
        <v>121</v>
      </c>
      <c r="K54" s="180">
        <f t="shared" si="11"/>
        <v>0</v>
      </c>
      <c r="L54" s="94">
        <f t="shared" si="11"/>
        <v>78</v>
      </c>
    </row>
    <row r="60" spans="1:12">
      <c r="A60" s="241" t="s">
        <v>725</v>
      </c>
    </row>
    <row r="62" spans="1:12">
      <c r="A62" t="s">
        <v>726</v>
      </c>
    </row>
    <row r="63" spans="1:12">
      <c r="A63" t="s">
        <v>727</v>
      </c>
      <c r="B63" t="s">
        <v>728</v>
      </c>
    </row>
    <row r="64" spans="1:12">
      <c r="B64" t="s">
        <v>729</v>
      </c>
    </row>
    <row r="65" spans="1:4">
      <c r="B65" t="s">
        <v>730</v>
      </c>
    </row>
    <row r="66" spans="1:4">
      <c r="A66" t="s">
        <v>731</v>
      </c>
    </row>
    <row r="67" spans="1:4">
      <c r="A67" t="s">
        <v>732</v>
      </c>
    </row>
    <row r="68" spans="1:4">
      <c r="A68" s="245" t="s">
        <v>733</v>
      </c>
    </row>
    <row r="70" spans="1:4">
      <c r="A70" t="s">
        <v>747</v>
      </c>
    </row>
    <row r="73" spans="1:4">
      <c r="C73" s="108"/>
    </row>
    <row r="79" spans="1:4">
      <c r="A79" s="109"/>
      <c r="B79" s="109"/>
      <c r="C79" s="109"/>
      <c r="D79" s="109"/>
    </row>
    <row r="80" spans="1:4">
      <c r="A80" s="109"/>
      <c r="B80" s="109"/>
      <c r="C80" s="109"/>
      <c r="D80" s="109"/>
    </row>
    <row r="81" spans="1:4">
      <c r="A81" s="109"/>
      <c r="B81" s="109"/>
      <c r="C81" s="109"/>
      <c r="D81" s="109"/>
    </row>
    <row r="82" spans="1:4">
      <c r="A82" s="109"/>
      <c r="B82" s="109"/>
      <c r="C82" s="109"/>
      <c r="D82" s="109"/>
    </row>
    <row r="83" spans="1:4">
      <c r="A83" s="109"/>
      <c r="B83" s="109"/>
      <c r="C83" s="109"/>
      <c r="D83" s="109"/>
    </row>
    <row r="84" spans="1:4">
      <c r="A84" s="109"/>
      <c r="B84" s="109"/>
      <c r="C84" s="109"/>
      <c r="D84" s="109"/>
    </row>
  </sheetData>
  <mergeCells count="75">
    <mergeCell ref="L29:L31"/>
    <mergeCell ref="A22:B23"/>
    <mergeCell ref="C22:E22"/>
    <mergeCell ref="F22:H22"/>
    <mergeCell ref="F29:F31"/>
    <mergeCell ref="G29:G31"/>
    <mergeCell ref="H29:H31"/>
    <mergeCell ref="I29:I31"/>
    <mergeCell ref="J29:J31"/>
    <mergeCell ref="A29:A31"/>
    <mergeCell ref="A26:A27"/>
    <mergeCell ref="A24:A25"/>
    <mergeCell ref="F24:F25"/>
    <mergeCell ref="G24:G25"/>
    <mergeCell ref="I49:I53"/>
    <mergeCell ref="J49:J53"/>
    <mergeCell ref="K49:K53"/>
    <mergeCell ref="L49:L53"/>
    <mergeCell ref="L44:L48"/>
    <mergeCell ref="L24:L25"/>
    <mergeCell ref="K26:K27"/>
    <mergeCell ref="L26:L27"/>
    <mergeCell ref="H24:H25"/>
    <mergeCell ref="F26:F27"/>
    <mergeCell ref="G26:G27"/>
    <mergeCell ref="H26:H27"/>
    <mergeCell ref="I26:I27"/>
    <mergeCell ref="I24:I25"/>
    <mergeCell ref="A32:A33"/>
    <mergeCell ref="A38:A39"/>
    <mergeCell ref="J24:J25"/>
    <mergeCell ref="J26:J27"/>
    <mergeCell ref="K24:K25"/>
    <mergeCell ref="I38:I39"/>
    <mergeCell ref="J38:J39"/>
    <mergeCell ref="K29:K31"/>
    <mergeCell ref="A49:A53"/>
    <mergeCell ref="F49:F53"/>
    <mergeCell ref="G49:G53"/>
    <mergeCell ref="H49:H53"/>
    <mergeCell ref="F38:F39"/>
    <mergeCell ref="G38:G39"/>
    <mergeCell ref="H38:H39"/>
    <mergeCell ref="L38:L39"/>
    <mergeCell ref="A41:A43"/>
    <mergeCell ref="F41:F43"/>
    <mergeCell ref="G41:G43"/>
    <mergeCell ref="H41:H43"/>
    <mergeCell ref="I41:I43"/>
    <mergeCell ref="J41:J43"/>
    <mergeCell ref="K41:K43"/>
    <mergeCell ref="L41:L43"/>
    <mergeCell ref="J44:J48"/>
    <mergeCell ref="K44:K48"/>
    <mergeCell ref="A35:A37"/>
    <mergeCell ref="F35:F37"/>
    <mergeCell ref="G35:G37"/>
    <mergeCell ref="H35:H37"/>
    <mergeCell ref="I35:I37"/>
    <mergeCell ref="J35:J37"/>
    <mergeCell ref="K38:K39"/>
    <mergeCell ref="A44:A48"/>
    <mergeCell ref="F44:F48"/>
    <mergeCell ref="G44:G48"/>
    <mergeCell ref="H44:H48"/>
    <mergeCell ref="I44:I48"/>
    <mergeCell ref="K35:K37"/>
    <mergeCell ref="L35:L37"/>
    <mergeCell ref="F32:F33"/>
    <mergeCell ref="G32:G33"/>
    <mergeCell ref="H32:H33"/>
    <mergeCell ref="L32:L33"/>
    <mergeCell ref="I32:I33"/>
    <mergeCell ref="J32:J33"/>
    <mergeCell ref="K32:K3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T254"/>
  <sheetViews>
    <sheetView showGridLines="0" showZeros="0" workbookViewId="0">
      <selection activeCell="H160" sqref="C158:H160"/>
    </sheetView>
  </sheetViews>
  <sheetFormatPr defaultRowHeight="12.75"/>
  <cols>
    <col min="1" max="1" width="4.5703125" style="5" customWidth="1"/>
    <col min="2" max="2" width="4" style="5" customWidth="1"/>
    <col min="3" max="3" width="3.42578125" style="5" customWidth="1"/>
    <col min="4" max="4" width="27.85546875" style="5" customWidth="1"/>
    <col min="5" max="5" width="16.7109375" style="5" customWidth="1"/>
    <col min="6" max="6" width="22.42578125" style="5" customWidth="1"/>
    <col min="7" max="7" width="8.140625" style="5" customWidth="1"/>
    <col min="8" max="8" width="6.5703125" style="5" customWidth="1"/>
    <col min="9" max="9" width="8.42578125" style="5" customWidth="1"/>
    <col min="10" max="16384" width="9.140625" style="5"/>
  </cols>
  <sheetData>
    <row r="1" spans="1:20" ht="35.25" customHeight="1">
      <c r="A1" s="390" t="s">
        <v>483</v>
      </c>
      <c r="B1" s="390"/>
      <c r="C1" s="390"/>
      <c r="D1" s="390"/>
      <c r="E1" s="390"/>
      <c r="F1" s="390"/>
      <c r="G1" s="390"/>
      <c r="H1" s="390"/>
      <c r="I1" s="158"/>
      <c r="J1" s="158"/>
      <c r="K1" s="158"/>
      <c r="L1" s="158"/>
      <c r="M1" s="158"/>
      <c r="N1" s="4"/>
      <c r="O1" s="4"/>
      <c r="P1" s="4"/>
      <c r="Q1" s="4"/>
      <c r="R1" s="4"/>
      <c r="S1" s="4"/>
      <c r="T1" s="4"/>
    </row>
    <row r="2" spans="1:20" ht="15" customHeight="1">
      <c r="A2" s="391" t="s">
        <v>17</v>
      </c>
      <c r="B2" s="391"/>
      <c r="C2" s="391"/>
      <c r="D2" s="391"/>
      <c r="E2" s="391"/>
      <c r="F2" s="391"/>
      <c r="G2" s="391"/>
      <c r="H2" s="39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4"/>
    </row>
    <row r="3" spans="1:20" ht="30.75" customHeight="1">
      <c r="A3" s="155" t="s">
        <v>58</v>
      </c>
      <c r="B3" s="262" t="s">
        <v>37</v>
      </c>
      <c r="C3" s="262"/>
      <c r="D3" s="262"/>
      <c r="E3" s="262"/>
      <c r="F3" s="157">
        <v>42455</v>
      </c>
      <c r="G3" s="389">
        <v>42456</v>
      </c>
      <c r="H3" s="389"/>
      <c r="N3" s="4"/>
      <c r="O3" s="4"/>
      <c r="P3" s="4"/>
      <c r="Q3" s="4"/>
      <c r="R3" s="4"/>
      <c r="S3" s="4"/>
      <c r="T3" s="4"/>
    </row>
    <row r="4" spans="1:20" ht="25.5" customHeight="1">
      <c r="A4" s="156" t="s">
        <v>13</v>
      </c>
      <c r="B4" s="264" t="s">
        <v>15</v>
      </c>
      <c r="C4" s="264"/>
      <c r="D4" s="264"/>
      <c r="E4" s="264"/>
      <c r="F4" s="388" t="s">
        <v>16</v>
      </c>
      <c r="G4" s="388"/>
      <c r="K4" s="70"/>
      <c r="N4" s="4"/>
      <c r="O4" s="4"/>
      <c r="P4" s="4"/>
      <c r="Q4" s="4"/>
      <c r="R4" s="4"/>
      <c r="S4" s="4"/>
      <c r="T4" s="4"/>
    </row>
    <row r="5" spans="1:20" ht="16.5" customHeight="1">
      <c r="A5" s="387" t="s">
        <v>6</v>
      </c>
      <c r="B5" s="387"/>
      <c r="C5" s="387"/>
      <c r="D5" s="387"/>
      <c r="E5" s="387"/>
      <c r="F5" s="387"/>
      <c r="G5" s="387"/>
      <c r="H5" s="38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4.75" customHeight="1">
      <c r="A6" s="20" t="s">
        <v>7</v>
      </c>
      <c r="B6" s="14" t="s">
        <v>8</v>
      </c>
      <c r="C6" s="15" t="s">
        <v>3</v>
      </c>
      <c r="D6" s="14" t="s">
        <v>0</v>
      </c>
      <c r="E6" s="14" t="s">
        <v>2</v>
      </c>
      <c r="F6" s="16" t="s">
        <v>1</v>
      </c>
      <c r="G6" s="17" t="s">
        <v>4</v>
      </c>
      <c r="H6" s="18" t="s">
        <v>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0.5" hidden="1" customHeight="1">
      <c r="A7" s="384" t="s">
        <v>241</v>
      </c>
      <c r="B7" s="385"/>
      <c r="C7" s="385"/>
      <c r="D7" s="385"/>
      <c r="E7" s="385"/>
      <c r="F7" s="385"/>
      <c r="G7" s="385"/>
      <c r="H7" s="38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0.75" hidden="1" customHeight="1">
      <c r="A8" s="9"/>
      <c r="B8" s="3"/>
      <c r="C8" s="82"/>
      <c r="D8" s="11"/>
      <c r="E8" s="69"/>
      <c r="F8" s="86"/>
      <c r="G8" s="13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0.5" hidden="1" customHeight="1">
      <c r="A9" s="9"/>
      <c r="B9" s="3"/>
      <c r="C9" s="82"/>
      <c r="D9" s="11"/>
      <c r="E9" s="69"/>
      <c r="F9" s="87"/>
      <c r="G9" s="13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0.5" hidden="1" customHeight="1">
      <c r="A10" s="9"/>
      <c r="B10" s="3"/>
      <c r="C10" s="83"/>
      <c r="D10" s="11"/>
      <c r="E10" s="69"/>
      <c r="F10" s="88"/>
      <c r="G10" s="13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0.5" hidden="1" customHeight="1">
      <c r="A11" s="9"/>
      <c r="B11" s="3"/>
      <c r="C11" s="83"/>
      <c r="D11" s="11"/>
      <c r="E11" s="69"/>
      <c r="F11" s="88"/>
      <c r="G11" s="13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0.5" hidden="1" customHeight="1">
      <c r="A12" s="384" t="s">
        <v>242</v>
      </c>
      <c r="B12" s="385"/>
      <c r="C12" s="385"/>
      <c r="D12" s="385"/>
      <c r="E12" s="385"/>
      <c r="F12" s="385"/>
      <c r="G12" s="385"/>
      <c r="H12" s="38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0.5" hidden="1" customHeight="1">
      <c r="A13" s="9"/>
      <c r="B13" s="3"/>
      <c r="C13" s="82"/>
      <c r="D13" s="11"/>
      <c r="E13" s="69"/>
      <c r="F13" s="86"/>
      <c r="G13" s="13"/>
      <c r="H13" s="1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0.5" hidden="1" customHeight="1">
      <c r="A14" s="9"/>
      <c r="B14" s="3"/>
      <c r="C14" s="82"/>
      <c r="D14" s="11"/>
      <c r="E14" s="69"/>
      <c r="F14" s="87"/>
      <c r="G14" s="13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0.5" hidden="1" customHeight="1">
      <c r="A15" s="9"/>
      <c r="B15" s="3"/>
      <c r="C15" s="83"/>
      <c r="D15" s="11"/>
      <c r="E15" s="69"/>
      <c r="F15" s="88"/>
      <c r="G15" s="13"/>
      <c r="H15" s="12"/>
      <c r="I15" s="4"/>
      <c r="J15" s="4"/>
      <c r="K15" s="4"/>
      <c r="L15" s="4"/>
      <c r="M15" s="4"/>
      <c r="N15" s="6"/>
      <c r="O15" s="4"/>
      <c r="P15" s="4"/>
      <c r="Q15" s="4"/>
      <c r="R15" s="4"/>
      <c r="S15" s="4"/>
      <c r="T15" s="4"/>
    </row>
    <row r="16" spans="1:20" ht="10.5" hidden="1" customHeight="1">
      <c r="A16" s="9"/>
      <c r="B16" s="3"/>
      <c r="C16" s="83"/>
      <c r="D16" s="11"/>
      <c r="E16" s="69"/>
      <c r="F16" s="88"/>
      <c r="G16" s="13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0.5" hidden="1" customHeight="1">
      <c r="A17" s="384" t="s">
        <v>243</v>
      </c>
      <c r="B17" s="385"/>
      <c r="C17" s="385"/>
      <c r="D17" s="385"/>
      <c r="E17" s="385"/>
      <c r="F17" s="385"/>
      <c r="G17" s="385"/>
      <c r="H17" s="38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0.5" hidden="1" customHeight="1">
      <c r="A18" s="9"/>
      <c r="B18" s="3"/>
      <c r="C18" s="84"/>
      <c r="D18" s="11"/>
      <c r="E18" s="69"/>
      <c r="F18" s="86"/>
      <c r="G18" s="13"/>
      <c r="H18" s="1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0.5" hidden="1" customHeight="1">
      <c r="A19" s="9"/>
      <c r="B19" s="3"/>
      <c r="C19" s="84"/>
      <c r="D19" s="11"/>
      <c r="E19" s="69"/>
      <c r="F19" s="87"/>
      <c r="G19" s="13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0.5" hidden="1" customHeight="1">
      <c r="A20" s="9"/>
      <c r="B20" s="3"/>
      <c r="C20" s="85"/>
      <c r="D20" s="11"/>
      <c r="E20" s="69"/>
      <c r="F20" s="88"/>
      <c r="G20" s="13"/>
      <c r="H20" s="1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0.5" hidden="1" customHeight="1">
      <c r="A21" s="9"/>
      <c r="B21" s="3"/>
      <c r="C21" s="85"/>
      <c r="D21" s="11"/>
      <c r="E21" s="69"/>
      <c r="F21" s="88"/>
      <c r="G21" s="13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0.5" customHeight="1">
      <c r="A22" s="384" t="s">
        <v>244</v>
      </c>
      <c r="B22" s="385"/>
      <c r="C22" s="385"/>
      <c r="D22" s="385"/>
      <c r="E22" s="385"/>
      <c r="F22" s="385"/>
      <c r="G22" s="385"/>
      <c r="H22" s="38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0.5" customHeight="1">
      <c r="A23" s="9">
        <v>1</v>
      </c>
      <c r="B23" s="3" t="s">
        <v>29</v>
      </c>
      <c r="C23" s="82">
        <v>6</v>
      </c>
      <c r="D23" s="11" t="str">
        <f>IF(C23=0,0,CONCATENATE(VLOOKUP(C23,[1]Регистрация!$B$7:$M$71,3,FALSE)," ",VLOOKUP(C23,[1]Регистрация!$B$7:$M$71,4,FALSE)," ",VLOOKUP(C23,[1]Регистрация!$B$7:$M$71,5,FALSE)))</f>
        <v>Назаров Мухаммед  Али</v>
      </c>
      <c r="E23" s="69" t="str">
        <f>IF(C23=0,0,VLOOKUP(C23,[1]Регистрация!$B$7:$M$71,11,FALSE))</f>
        <v>Тамбовская обл</v>
      </c>
      <c r="F23" s="69" t="str">
        <f>IF(C23=0,0,VLOOKUP(C23,[1]Регистрация!$B$7:$M$71,12,FALSE))</f>
        <v>Айриян А.И.</v>
      </c>
      <c r="G23" s="13">
        <f>IF(C23=0,0,VLOOKUP(C23,[1]Регистрация!$B$7:$M$71,6,FALSE))</f>
        <v>39591</v>
      </c>
      <c r="H23" s="12">
        <f>IF(C23=0,0,VLOOKUP(C23,[1]Регистрация!$B$7:$M$71,8,FALSE))</f>
        <v>9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0.5" customHeight="1">
      <c r="A24" s="9">
        <v>2</v>
      </c>
      <c r="B24" s="3" t="s">
        <v>30</v>
      </c>
      <c r="C24" s="82">
        <v>9</v>
      </c>
      <c r="D24" s="11" t="str">
        <f>IF(C24=0,0,CONCATENATE(VLOOKUP(C24,[1]Регистрация!$B$7:$M$71,3,FALSE)," ",VLOOKUP(C24,[1]Регистрация!$B$7:$M$71,4,FALSE)," ",VLOOKUP(C24,[1]Регистрация!$B$7:$M$71,5,FALSE)))</f>
        <v>Кузин Кирилл Романович</v>
      </c>
      <c r="E24" s="69" t="str">
        <f>IF(C24=0,0,VLOOKUP(C24,[1]Регистрация!$B$7:$M$71,11,FALSE))</f>
        <v>Задонск</v>
      </c>
      <c r="F24" s="69" t="str">
        <f>IF(C24=0,0,VLOOKUP(C24,[1]Регистрация!$B$7:$M$71,12,FALSE))</f>
        <v>Лобеев А.А.</v>
      </c>
      <c r="G24" s="13">
        <f>IF(C24=0,0,VLOOKUP(C24,[1]Регистрация!$B$7:$M$71,6,FALSE))</f>
        <v>39154</v>
      </c>
      <c r="H24" s="12">
        <f>IF(C24=0,0,VLOOKUP(C24,[1]Регистрация!$B$7:$M$71,8,FALSE))</f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0.5" customHeight="1">
      <c r="A25" s="9">
        <v>3</v>
      </c>
      <c r="B25" s="3" t="s">
        <v>31</v>
      </c>
      <c r="C25" s="83">
        <v>8</v>
      </c>
      <c r="D25" s="11" t="str">
        <f>IF(C25=0,0,CONCATENATE(VLOOKUP(C25,[1]Регистрация!$B$7:$M$71,3,FALSE)," ",VLOOKUP(C25,[1]Регистрация!$B$7:$M$71,4,FALSE)," ",VLOOKUP(C25,[1]Регистрация!$B$7:$M$71,5,FALSE)))</f>
        <v>Куреев Кирилл Андреевич</v>
      </c>
      <c r="E25" s="69" t="str">
        <f>IF(C25=0,0,VLOOKUP(C25,[1]Регистрация!$B$7:$M$71,11,FALSE))</f>
        <v>Елец</v>
      </c>
      <c r="F25" s="69" t="str">
        <f>IF(C25=0,0,VLOOKUP(C25,[1]Регистрация!$B$7:$M$71,12,FALSE))</f>
        <v>Акопян А.В.</v>
      </c>
      <c r="G25" s="13">
        <f>IF(C25=0,0,VLOOKUP(C25,[1]Регистрация!$B$7:$M$71,6,FALSE))</f>
        <v>39189</v>
      </c>
      <c r="H25" s="12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0.5" customHeight="1">
      <c r="A26" s="9">
        <v>4</v>
      </c>
      <c r="B26" s="3" t="s">
        <v>31</v>
      </c>
      <c r="C26" s="83">
        <v>3</v>
      </c>
      <c r="D26" s="11" t="str">
        <f>IF(C26=0,0,CONCATENATE(VLOOKUP(C26,[1]Регистрация!$B$7:$M$71,3,FALSE)," ",VLOOKUP(C26,[1]Регистрация!$B$7:$M$71,4,FALSE)," ",VLOOKUP(C26,[1]Регистрация!$B$7:$M$71,5,FALSE)))</f>
        <v>Шевченко Илья Алексеевич</v>
      </c>
      <c r="E26" s="69" t="str">
        <f>IF(C26=0,0,VLOOKUP(C26,[1]Регистрация!$B$7:$M$71,11,FALSE))</f>
        <v>Москва</v>
      </c>
      <c r="F26" s="69" t="str">
        <f>IF(C26=0,0,VLOOKUP(C26,[1]Регистрация!$B$7:$M$71,12,FALSE))</f>
        <v>Конышев С.В.</v>
      </c>
      <c r="G26" s="13">
        <f>IF(C26=0,0,VLOOKUP(C26,[1]Регистрация!$B$7:$M$71,6,FALSE))</f>
        <v>38825</v>
      </c>
      <c r="H26" s="12">
        <f>IF(C26=0,0,VLOOKUP(C26,[1]Регистрация!$B$7:$M$71,8,FALSE))</f>
        <v>10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0.5" customHeight="1">
      <c r="A27" s="384" t="s">
        <v>691</v>
      </c>
      <c r="B27" s="385"/>
      <c r="C27" s="385"/>
      <c r="D27" s="385"/>
      <c r="E27" s="385"/>
      <c r="F27" s="385"/>
      <c r="G27" s="385"/>
      <c r="H27" s="38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0.5" customHeight="1">
      <c r="A28" s="9">
        <v>1</v>
      </c>
      <c r="B28" s="3"/>
      <c r="C28" s="82">
        <v>2</v>
      </c>
      <c r="D28" s="11" t="str">
        <f>IF(C28=0,0,CONCATENATE(VLOOKUP(C28,[2]Регистрация!$B$7:$M$71,3,FALSE)," ",VLOOKUP(C28,[2]Регистрация!$B$7:$M$71,4,FALSE)," ",VLOOKUP(C28,[2]Регистрация!$B$7:$M$71,5,FALSE)))</f>
        <v>Чалов Иван Андреевич</v>
      </c>
      <c r="E28" s="69" t="str">
        <f>IF(C28=0,0,VLOOKUP(C28,[2]Регистрация!$B$7:$M$71,11,FALSE))</f>
        <v>Москва</v>
      </c>
      <c r="F28" s="69" t="str">
        <f>IF(C28=0,0,VLOOKUP(C28,[2]Регистрация!$B$7:$M$71,12,FALSE))</f>
        <v>Анаян О.Г.</v>
      </c>
      <c r="G28" s="13">
        <f>IF(C28=0,0,VLOOKUP(C28,[2]Регистрация!$B$7:$M$71,6,FALSE))</f>
        <v>38991</v>
      </c>
      <c r="H28" s="12">
        <f>IF(C28=0,0,VLOOKUP(C28,[2]Регистрация!$B$7:$M$71,8,FALSE))</f>
        <v>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0.5" customHeight="1">
      <c r="A29" s="9">
        <v>2</v>
      </c>
      <c r="B29" s="3"/>
      <c r="C29" s="82">
        <v>1</v>
      </c>
      <c r="D29" s="11" t="str">
        <f>IF(C29=0,0,CONCATENATE(VLOOKUP(C29,[2]Регистрация!$B$7:$M$71,3,FALSE)," ",VLOOKUP(C29,[2]Регистрация!$B$7:$M$71,4,FALSE)," ",VLOOKUP(C29,[2]Регистрация!$B$7:$M$71,5,FALSE)))</f>
        <v>Ковалев Захар Сергеевич</v>
      </c>
      <c r="E29" s="69" t="str">
        <f>IF(C29=0,0,VLOOKUP(C29,[2]Регистрация!$B$7:$M$71,11,FALSE))</f>
        <v>Грязи "Катана"</v>
      </c>
      <c r="F29" s="69" t="str">
        <f>IF(C29=0,0,VLOOKUP(C29,[2]Регистрация!$B$7:$M$71,12,FALSE))</f>
        <v>Козлов А.Э.</v>
      </c>
      <c r="G29" s="13">
        <f>IF(C29=0,0,VLOOKUP(C29,[2]Регистрация!$B$7:$M$71,6,FALSE))</f>
        <v>39439</v>
      </c>
      <c r="H29" s="12">
        <f>IF(C29=0,0,VLOOKUP(C29,[2]Регистрация!$B$7:$M$71,8,FALSE))</f>
        <v>10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0.5" customHeight="1">
      <c r="A30" s="9">
        <v>3</v>
      </c>
      <c r="B30" s="3"/>
      <c r="C30" s="83">
        <v>11</v>
      </c>
      <c r="D30" s="11" t="str">
        <f>IF(C30=0,0,CONCATENATE(VLOOKUP(C30,[2]Регистрация!$B$7:$M$71,3,FALSE)," ",VLOOKUP(C30,[2]Регистрация!$B$7:$M$71,4,FALSE)," ",VLOOKUP(C30,[2]Регистрация!$B$7:$M$71,5,FALSE)))</f>
        <v>Кирюхин Алексей  Алексеевич</v>
      </c>
      <c r="E30" s="69" t="str">
        <f>IF(C30=0,0,VLOOKUP(C30,[2]Регистрация!$B$7:$M$71,11,FALSE))</f>
        <v>Елец</v>
      </c>
      <c r="F30" s="69" t="str">
        <f>IF(C30=0,0,VLOOKUP(C30,[2]Регистрация!$B$7:$M$71,12,FALSE))</f>
        <v xml:space="preserve">Кобзев М.А. </v>
      </c>
      <c r="G30" s="13">
        <f>IF(C30=0,0,VLOOKUP(C30,[2]Регистрация!$B$7:$M$71,6,FALSE))</f>
        <v>38863</v>
      </c>
      <c r="H30" s="12">
        <f>IF(C30=0,0,VLOOKUP(C30,[2]Регистрация!$B$7:$M$71,8,FALSE))</f>
        <v>10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0.5" customHeight="1">
      <c r="A31" s="9">
        <v>4</v>
      </c>
      <c r="B31" s="3"/>
      <c r="C31" s="83">
        <v>8</v>
      </c>
      <c r="D31" s="11" t="str">
        <f>IF(C31=0,0,CONCATENATE(VLOOKUP(C31,[2]Регистрация!$B$7:$M$71,3,FALSE)," ",VLOOKUP(C31,[2]Регистрация!$B$7:$M$71,4,FALSE)," ",VLOOKUP(C31,[2]Регистрация!$B$7:$M$71,5,FALSE)))</f>
        <v>Шварц  Максим Андреевич</v>
      </c>
      <c r="E31" s="69" t="str">
        <f>IF(C31=0,0,VLOOKUP(C31,[2]Регистрация!$B$7:$M$71,11,FALSE))</f>
        <v>Елец</v>
      </c>
      <c r="F31" s="69" t="str">
        <f>IF(C31=0,0,VLOOKUP(C31,[2]Регистрация!$B$7:$M$71,12,FALSE))</f>
        <v>Акопян А.В</v>
      </c>
      <c r="G31" s="13">
        <f>IF(C31=0,0,VLOOKUP(C31,[2]Регистрация!$B$7:$M$71,6,FALSE))</f>
        <v>39266</v>
      </c>
      <c r="H31" s="12">
        <f>IF(C31=0,0,VLOOKUP(C31,[2]Регистрация!$B$7:$M$71,8,FALSE))</f>
        <v>8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0.5" customHeight="1">
      <c r="A32" s="384" t="s">
        <v>690</v>
      </c>
      <c r="B32" s="385"/>
      <c r="C32" s="385"/>
      <c r="D32" s="385"/>
      <c r="E32" s="385"/>
      <c r="F32" s="385"/>
      <c r="G32" s="385"/>
      <c r="H32" s="38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0.5" customHeight="1">
      <c r="A33" s="9">
        <v>1</v>
      </c>
      <c r="B33" s="3"/>
      <c r="C33" s="82">
        <v>7</v>
      </c>
      <c r="D33" s="11" t="str">
        <f>IF(C33=0,0,CONCATENATE(VLOOKUP(C33,[3]Регистрация!$B$7:$M$71,3,FALSE)," ",VLOOKUP(C33,[3]Регистрация!$B$7:$M$71,4,FALSE)," ",VLOOKUP(C33,[3]Регистрация!$B$7:$M$71,5,FALSE)))</f>
        <v>Фомкин Евгений Владимирович</v>
      </c>
      <c r="E33" s="69" t="str">
        <f>IF(C33=0,0,VLOOKUP(C33,[3]Регистрация!$B$7:$M$71,11,FALSE))</f>
        <v>Липецк KAN</v>
      </c>
      <c r="F33" s="69" t="str">
        <f>IF(C33=0,0,VLOOKUP(C33,[3]Регистрация!$B$7:$M$71,12,FALSE))</f>
        <v>Цуканов А.С.</v>
      </c>
      <c r="G33" s="13">
        <f>IF(C33=0,0,VLOOKUP(C33,[3]Регистрация!$B$7:$M$71,6,FALSE))</f>
        <v>39104</v>
      </c>
      <c r="H33" s="12">
        <f>IF(C33=0,0,VLOOKUP(C33,[3]Регистрация!$B$7:$M$71,8,FALSE))</f>
        <v>10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0.5" customHeight="1">
      <c r="A34" s="9">
        <v>2</v>
      </c>
      <c r="B34" s="3"/>
      <c r="C34" s="82">
        <v>8</v>
      </c>
      <c r="D34" s="11" t="str">
        <f>IF(C34=0,0,CONCATENATE(VLOOKUP(C34,[3]Регистрация!$B$7:$M$71,3,FALSE)," ",VLOOKUP(C34,[3]Регистрация!$B$7:$M$71,4,FALSE)," ",VLOOKUP(C34,[3]Регистрация!$B$7:$M$71,5,FALSE)))</f>
        <v>Кретов  Арсений  Валентинович </v>
      </c>
      <c r="E34" s="69" t="str">
        <f>IF(C34=0,0,VLOOKUP(C34,[3]Регистрация!$B$7:$M$71,11,FALSE))</f>
        <v>Липецк Годзю-рю</v>
      </c>
      <c r="F34" s="69" t="str">
        <f>IF(C34=0,0,VLOOKUP(C34,[3]Регистрация!$B$7:$M$71,12,FALSE))</f>
        <v>Николаев Э.Б </v>
      </c>
      <c r="G34" s="13" t="str">
        <f>IF(C34=0,0,VLOOKUP(C34,[3]Регистрация!$B$7:$M$71,6,FALSE))</f>
        <v>17.05.2007 </v>
      </c>
      <c r="H34" s="12" t="str">
        <f>IF(C34=0,0,VLOOKUP(C34,[3]Регистрация!$B$7:$M$71,8,FALSE))</f>
        <v>9 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0.5" customHeight="1">
      <c r="A35" s="9">
        <v>3</v>
      </c>
      <c r="B35" s="3"/>
      <c r="C35" s="83">
        <v>2</v>
      </c>
      <c r="D35" s="11" t="str">
        <f>IF(C35=0,0,CONCATENATE(VLOOKUP(C35,[3]Регистрация!$B$7:$M$71,3,FALSE)," ",VLOOKUP(C35,[3]Регистрация!$B$7:$M$71,4,FALSE)," ",VLOOKUP(C35,[3]Регистрация!$B$7:$M$71,5,FALSE)))</f>
        <v>Глазков  Артем Сергеевич</v>
      </c>
      <c r="E35" s="69" t="str">
        <f>IF(C35=0,0,VLOOKUP(C35,[3]Регистрация!$B$7:$M$71,11,FALSE))</f>
        <v>Елец</v>
      </c>
      <c r="F35" s="69" t="str">
        <f>IF(C35=0,0,VLOOKUP(C35,[3]Регистрация!$B$7:$M$71,12,FALSE))</f>
        <v>Акопян А.В.</v>
      </c>
      <c r="G35" s="13">
        <f>IF(C35=0,0,VLOOKUP(C35,[3]Регистрация!$B$7:$M$71,6,FALSE))</f>
        <v>39226</v>
      </c>
      <c r="H35" s="12">
        <f>IF(C35=0,0,VLOOKUP(C35,[3]Регистрация!$B$7:$M$71,8,FALSE))</f>
        <v>9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0.5" customHeight="1">
      <c r="A36" s="9">
        <v>4</v>
      </c>
      <c r="B36" s="3"/>
      <c r="C36" s="83">
        <v>9</v>
      </c>
      <c r="D36" s="11" t="str">
        <f>IF(C36=0,0,CONCATENATE(VLOOKUP(C36,[3]Регистрация!$B$7:$M$71,3,FALSE)," ",VLOOKUP(C36,[3]Регистрация!$B$7:$M$71,4,FALSE)," ",VLOOKUP(C36,[3]Регистрация!$B$7:$M$71,5,FALSE)))</f>
        <v>Смагин Михаил Романович</v>
      </c>
      <c r="E36" s="69" t="str">
        <f>IF(C36=0,0,VLOOKUP(C36,[3]Регистрация!$B$7:$M$71,11,FALSE))</f>
        <v>Москва</v>
      </c>
      <c r="F36" s="69" t="str">
        <f>IF(C36=0,0,VLOOKUP(C36,[3]Регистрация!$B$7:$M$71,12,FALSE))</f>
        <v>Конышев С.В.</v>
      </c>
      <c r="G36" s="13">
        <f>IF(C36=0,0,VLOOKUP(C36,[3]Регистрация!$B$7:$M$71,6,FALSE))</f>
        <v>39422</v>
      </c>
      <c r="H36" s="12">
        <f>IF(C36=0,0,VLOOKUP(C36,[3]Регистрация!$B$7:$M$71,8,FALSE))</f>
        <v>9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0.5" customHeight="1">
      <c r="A37" s="384" t="s">
        <v>689</v>
      </c>
      <c r="B37" s="385"/>
      <c r="C37" s="385"/>
      <c r="D37" s="385"/>
      <c r="E37" s="385"/>
      <c r="F37" s="385"/>
      <c r="G37" s="385"/>
      <c r="H37" s="38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0.5" customHeight="1">
      <c r="A38" s="9">
        <v>1</v>
      </c>
      <c r="B38" s="3"/>
      <c r="C38" s="82">
        <v>4</v>
      </c>
      <c r="D38" s="11" t="str">
        <f>IF(C38=0,0,CONCATENATE(VLOOKUP(C38,[4]Регистрация!$B$7:$M$71,3,FALSE)," ",VLOOKUP(C38,[4]Регистрация!$B$7:$M$71,4,FALSE)," ",VLOOKUP(C38,[4]Регистрация!$B$7:$M$71,5,FALSE)))</f>
        <v>Беляев  Никита Валерьевич</v>
      </c>
      <c r="E38" s="69" t="str">
        <f>IF(C38=0,0,VLOOKUP(C38,[4]Регистрация!$B$7:$M$71,11,FALSE))</f>
        <v>Липецк KAN</v>
      </c>
      <c r="F38" s="69" t="str">
        <f>IF(C38=0,0,VLOOKUP(C38,[4]Регистрация!$B$7:$M$71,12,FALSE))</f>
        <v>Цуканов А.С.</v>
      </c>
      <c r="G38" s="13">
        <f>IF(C38=0,0,VLOOKUP(C38,[4]Регистрация!$B$7:$M$71,6,FALSE))</f>
        <v>38840</v>
      </c>
      <c r="H38" s="12">
        <f>IF(C38=0,0,VLOOKUP(C38,[4]Регистрация!$B$7:$M$71,8,FALSE))</f>
        <v>9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0.5" customHeight="1">
      <c r="A39" s="9">
        <v>2</v>
      </c>
      <c r="B39" s="3"/>
      <c r="C39" s="82">
        <v>5</v>
      </c>
      <c r="D39" s="11" t="str">
        <f>IF(C39=0,0,CONCATENATE(VLOOKUP(C39,[4]Регистрация!$B$7:$M$71,3,FALSE)," ",VLOOKUP(C39,[4]Регистрация!$B$7:$M$71,4,FALSE)," ",VLOOKUP(C39,[4]Регистрация!$B$7:$M$71,5,FALSE)))</f>
        <v>Готовкин  Роман Владимирович</v>
      </c>
      <c r="E39" s="69" t="str">
        <f>IF(C39=0,0,VLOOKUP(C39,[4]Регистрация!$B$7:$M$71,11,FALSE))</f>
        <v>Елец</v>
      </c>
      <c r="F39" s="69" t="str">
        <f>IF(C39=0,0,VLOOKUP(C39,[4]Регистрация!$B$7:$M$71,12,FALSE))</f>
        <v>Акопян А.В.</v>
      </c>
      <c r="G39" s="13">
        <f>IF(C39=0,0,VLOOKUP(C39,[4]Регистрация!$B$7:$M$71,6,FALSE))</f>
        <v>38982</v>
      </c>
      <c r="H39" s="12">
        <f>IF(C39=0,0,VLOOKUP(C39,[4]Регистрация!$B$7:$M$71,8,FALSE))</f>
        <v>8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0.5" customHeight="1">
      <c r="A40" s="9">
        <v>3</v>
      </c>
      <c r="B40" s="3"/>
      <c r="C40" s="83">
        <v>3</v>
      </c>
      <c r="D40" s="11" t="str">
        <f>IF(C40=0,0,CONCATENATE(VLOOKUP(C40,[4]Регистрация!$B$7:$M$71,3,FALSE)," ",VLOOKUP(C40,[4]Регистрация!$B$7:$M$71,4,FALSE)," ",VLOOKUP(C40,[4]Регистрация!$B$7:$M$71,5,FALSE)))</f>
        <v>Мушкет Максим Александрович</v>
      </c>
      <c r="E40" s="69" t="str">
        <f>IF(C40=0,0,VLOOKUP(C40,[4]Регистрация!$B$7:$M$71,11,FALSE))</f>
        <v>Липецк KAN</v>
      </c>
      <c r="F40" s="69" t="str">
        <f>IF(C40=0,0,VLOOKUP(C40,[4]Регистрация!$B$7:$M$71,12,FALSE))</f>
        <v>Цуканов А.С.</v>
      </c>
      <c r="G40" s="13">
        <f>IF(C40=0,0,VLOOKUP(C40,[4]Регистрация!$B$7:$M$71,6,FALSE))</f>
        <v>39002</v>
      </c>
      <c r="H40" s="12">
        <f>IF(C40=0,0,VLOOKUP(C40,[4]Регистрация!$B$7:$M$71,8,FALSE))</f>
        <v>10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0.5" customHeight="1">
      <c r="A41" s="9">
        <v>4</v>
      </c>
      <c r="B41" s="3"/>
      <c r="C41" s="83">
        <v>6</v>
      </c>
      <c r="D41" s="11" t="str">
        <f>IF(C41=0,0,CONCATENATE(VLOOKUP(C41,[4]Регистрация!$B$7:$M$71,3,FALSE)," ",VLOOKUP(C41,[4]Регистрация!$B$7:$M$71,4,FALSE)," ",VLOOKUP(C41,[4]Регистрация!$B$7:$M$71,5,FALSE)))</f>
        <v>Кочетков Михаил Александрович</v>
      </c>
      <c r="E41" s="69" t="str">
        <f>IF(C41=0,0,VLOOKUP(C41,[4]Регистрация!$B$7:$M$71,11,FALSE))</f>
        <v>Липецк IKO</v>
      </c>
      <c r="F41" s="69" t="str">
        <f>IF(C41=0,0,VLOOKUP(C41,[4]Регистрация!$B$7:$M$71,12,FALSE))</f>
        <v>Горбунов А.С</v>
      </c>
      <c r="G41" s="13">
        <f>IF(C41=0,0,VLOOKUP(C41,[4]Регистрация!$B$7:$M$71,6,FALSE))</f>
        <v>39272</v>
      </c>
      <c r="H41" s="12">
        <f>IF(C41=0,0,VLOOKUP(C41,[4]Регистрация!$B$7:$M$71,8,FALSE))</f>
        <v>6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0.5" customHeight="1">
      <c r="A42" s="384" t="s">
        <v>692</v>
      </c>
      <c r="B42" s="385"/>
      <c r="C42" s="385"/>
      <c r="D42" s="385"/>
      <c r="E42" s="385"/>
      <c r="F42" s="385"/>
      <c r="G42" s="385"/>
      <c r="H42" s="38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0.5" customHeight="1">
      <c r="A43" s="9">
        <v>1</v>
      </c>
      <c r="B43" s="3"/>
      <c r="C43" s="82">
        <v>2</v>
      </c>
      <c r="D43" s="11" t="str">
        <f>IF(C43=0,0,CONCATENATE(VLOOKUP(C43,[5]Регистрация!$B$7:$M$71,3,FALSE)," ",VLOOKUP(C43,[5]Регистрация!$B$7:$M$71,4,FALSE)," ",VLOOKUP(C43,[5]Регистрация!$B$7:$M$71,5,FALSE)))</f>
        <v>Селеванов Кирилл Викторович</v>
      </c>
      <c r="E43" s="69" t="str">
        <f>IF(C43=0,0,VLOOKUP(C43,[5]Регистрация!$B$7:$M$71,11,FALSE))</f>
        <v>Тамбовская обл</v>
      </c>
      <c r="F43" s="69" t="str">
        <f>IF(C43=0,0,VLOOKUP(C43,[5]Регистрация!$B$7:$M$71,12,FALSE))</f>
        <v>Кузнецова Е.Н.</v>
      </c>
      <c r="G43" s="13">
        <f>IF(C43=0,0,VLOOKUP(C43,[5]Регистрация!$B$7:$M$71,6,FALSE))</f>
        <v>39443</v>
      </c>
      <c r="H43" s="12">
        <f>IF(C43=0,0,VLOOKUP(C43,[5]Регистрация!$B$7:$M$71,8,FALSE))</f>
        <v>8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0.5" customHeight="1">
      <c r="A44" s="9">
        <v>2</v>
      </c>
      <c r="B44" s="3"/>
      <c r="C44" s="82">
        <v>7</v>
      </c>
      <c r="D44" s="11" t="str">
        <f>IF(C44=0,0,CONCATENATE(VLOOKUP(C44,[5]Регистрация!$B$7:$M$71,3,FALSE)," ",VLOOKUP(C44,[5]Регистрация!$B$7:$M$71,4,FALSE)," ",VLOOKUP(C44,[5]Регистрация!$B$7:$M$71,5,FALSE)))</f>
        <v>Адерихин Егор Юрьевич</v>
      </c>
      <c r="E44" s="69" t="str">
        <f>IF(C44=0,0,VLOOKUP(C44,[5]Регистрация!$B$7:$M$71,11,FALSE))</f>
        <v>Липецк IKO</v>
      </c>
      <c r="F44" s="69" t="str">
        <f>IF(C44=0,0,VLOOKUP(C44,[5]Регистрация!$B$7:$M$71,12,FALSE))</f>
        <v>Бедоян В.Г</v>
      </c>
      <c r="G44" s="13">
        <f>IF(C44=0,0,VLOOKUP(C44,[5]Регистрация!$B$7:$M$71,6,FALSE))</f>
        <v>39160</v>
      </c>
      <c r="H44" s="12">
        <f>IF(C44=0,0,VLOOKUP(C44,[5]Регистрация!$B$7:$M$71,8,FALSE))</f>
        <v>8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0.5" customHeight="1">
      <c r="A45" s="9">
        <v>3</v>
      </c>
      <c r="B45" s="3"/>
      <c r="C45" s="83">
        <v>5</v>
      </c>
      <c r="D45" s="11" t="str">
        <f>IF(C45=0,0,CONCATENATE(VLOOKUP(C45,[5]Регистрация!$B$7:$M$71,3,FALSE)," ",VLOOKUP(C45,[5]Регистрация!$B$7:$M$71,4,FALSE)," ",VLOOKUP(C45,[5]Регистрация!$B$7:$M$71,5,FALSE)))</f>
        <v>Соломахин  Демид Сергеевич</v>
      </c>
      <c r="E45" s="69" t="str">
        <f>IF(C45=0,0,VLOOKUP(C45,[5]Регистрация!$B$7:$M$71,11,FALSE))</f>
        <v>Елец</v>
      </c>
      <c r="F45" s="69" t="str">
        <f>IF(C45=0,0,VLOOKUP(C45,[5]Регистрация!$B$7:$M$71,12,FALSE))</f>
        <v>Акопян А.В.</v>
      </c>
      <c r="G45" s="13">
        <f>IF(C45=0,0,VLOOKUP(C45,[5]Регистрация!$B$7:$M$71,6,FALSE))</f>
        <v>39062</v>
      </c>
      <c r="H45" s="12">
        <f>IF(C45=0,0,VLOOKUP(C45,[5]Регистрация!$B$7:$M$71,8,FALSE))</f>
        <v>10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0.5" customHeight="1">
      <c r="A46" s="9">
        <v>4</v>
      </c>
      <c r="B46" s="3"/>
      <c r="C46" s="83">
        <v>4</v>
      </c>
      <c r="D46" s="11" t="str">
        <f>IF(C46=0,0,CONCATENATE(VLOOKUP(C46,[5]Регистрация!$B$7:$M$71,3,FALSE)," ",VLOOKUP(C46,[5]Регистрация!$B$7:$M$71,4,FALSE)," ",VLOOKUP(C46,[5]Регистрация!$B$7:$M$71,5,FALSE)))</f>
        <v>Шапошников  Егор Сергеевич</v>
      </c>
      <c r="E46" s="69" t="str">
        <f>IF(C46=0,0,VLOOKUP(C46,[5]Регистрация!$B$7:$M$71,11,FALSE))</f>
        <v>Елец</v>
      </c>
      <c r="F46" s="69" t="str">
        <f>IF(C46=0,0,VLOOKUP(C46,[5]Регистрация!$B$7:$M$71,12,FALSE))</f>
        <v>Акопян А.В.</v>
      </c>
      <c r="G46" s="13">
        <f>IF(C46=0,0,VLOOKUP(C46,[5]Регистрация!$B$7:$M$71,6,FALSE))</f>
        <v>39325</v>
      </c>
      <c r="H46" s="12">
        <f>IF(C46=0,0,VLOOKUP(C46,[5]Регистрация!$B$7:$M$71,8,FALSE))</f>
        <v>9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0.5" customHeight="1">
      <c r="A47" s="384" t="s">
        <v>693</v>
      </c>
      <c r="B47" s="385"/>
      <c r="C47" s="385"/>
      <c r="D47" s="385"/>
      <c r="E47" s="385"/>
      <c r="F47" s="385"/>
      <c r="G47" s="385"/>
      <c r="H47" s="38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0.5" customHeight="1">
      <c r="A48" s="9">
        <v>1</v>
      </c>
      <c r="B48" s="3"/>
      <c r="C48" s="82">
        <v>11</v>
      </c>
      <c r="D48" s="11" t="str">
        <f>IF(C48=0,0,CONCATENATE(VLOOKUP(C48,[6]Регистрация!$B$7:$M$71,3,FALSE)," ",VLOOKUP(C48,[6]Регистрация!$B$7:$M$71,4,FALSE)," ",VLOOKUP(C48,[6]Регистрация!$B$7:$M$71,5,FALSE)))</f>
        <v>Малов Артём Кириллович</v>
      </c>
      <c r="E48" s="69" t="str">
        <f>IF(C48=0,0,VLOOKUP(C48,[6]Регистрация!$B$7:$M$71,11,FALSE))</f>
        <v>Москва</v>
      </c>
      <c r="F48" s="69" t="str">
        <f>IF(C48=0,0,VLOOKUP(C48,[6]Регистрация!$B$7:$M$71,12,FALSE))</f>
        <v>Анаян О.Г.</v>
      </c>
      <c r="G48" s="13">
        <f>IF(C48=0,0,VLOOKUP(C48,[6]Регистрация!$B$7:$M$71,6,FALSE))</f>
        <v>38455</v>
      </c>
      <c r="H48" s="12" t="str">
        <f>IF(C48=0,0,VLOOKUP(C48,[6]Регистрация!$B$7:$M$71,8,FALSE))</f>
        <v>5 кю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0.5" customHeight="1">
      <c r="A49" s="9">
        <v>2</v>
      </c>
      <c r="B49" s="3"/>
      <c r="C49" s="82">
        <v>4</v>
      </c>
      <c r="D49" s="11" t="str">
        <f>IF(C49=0,0,CONCATENATE(VLOOKUP(C49,[6]Регистрация!$B$7:$M$71,3,FALSE)," ",VLOOKUP(C49,[6]Регистрация!$B$7:$M$71,4,FALSE)," ",VLOOKUP(C49,[6]Регистрация!$B$7:$M$71,5,FALSE)))</f>
        <v>Родимов Ярослав Сергеевич</v>
      </c>
      <c r="E49" s="69" t="str">
        <f>IF(C49=0,0,VLOOKUP(C49,[6]Регистрация!$B$7:$M$71,11,FALSE))</f>
        <v>Грязи "Катана"</v>
      </c>
      <c r="F49" s="69" t="str">
        <f>IF(C49=0,0,VLOOKUP(C49,[6]Регистрация!$B$7:$M$71,12,FALSE))</f>
        <v>Козлов А.Э.</v>
      </c>
      <c r="G49" s="13">
        <f>IF(C49=0,0,VLOOKUP(C49,[6]Регистрация!$B$7:$M$71,6,FALSE))</f>
        <v>38484</v>
      </c>
      <c r="H49" s="12">
        <f>IF(C49=0,0,VLOOKUP(C49,[6]Регистрация!$B$7:$M$71,8,FALSE))</f>
        <v>10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0.5" customHeight="1">
      <c r="A50" s="9">
        <v>3</v>
      </c>
      <c r="B50" s="3"/>
      <c r="C50" s="83">
        <v>10</v>
      </c>
      <c r="D50" s="11" t="str">
        <f>IF(C50=0,0,CONCATENATE(VLOOKUP(C50,[6]Регистрация!$B$7:$M$71,3,FALSE)," ",VLOOKUP(C50,[6]Регистрация!$B$7:$M$71,4,FALSE)," ",VLOOKUP(C50,[6]Регистрация!$B$7:$M$71,5,FALSE)))</f>
        <v>Трифонов Денис Сергеевич</v>
      </c>
      <c r="E50" s="69" t="str">
        <f>IF(C50=0,0,VLOOKUP(C50,[6]Регистрация!$B$7:$M$71,11,FALSE))</f>
        <v>Москва</v>
      </c>
      <c r="F50" s="69" t="str">
        <f>IF(C50=0,0,VLOOKUP(C50,[6]Регистрация!$B$7:$M$71,12,FALSE))</f>
        <v>Анаян О.Г.</v>
      </c>
      <c r="G50" s="13">
        <f>IF(C50=0,0,VLOOKUP(C50,[6]Регистрация!$B$7:$M$71,6,FALSE))</f>
        <v>38573</v>
      </c>
      <c r="H50" s="12" t="str">
        <f>IF(C50=0,0,VLOOKUP(C50,[6]Регистрация!$B$7:$M$71,8,FALSE))</f>
        <v>8 кю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0.5" customHeight="1">
      <c r="A51" s="9">
        <v>4</v>
      </c>
      <c r="B51" s="3"/>
      <c r="C51" s="83">
        <v>5</v>
      </c>
      <c r="D51" s="11" t="str">
        <f>IF(C51=0,0,CONCATENATE(VLOOKUP(C51,[6]Регистрация!$B$7:$M$71,3,FALSE)," ",VLOOKUP(C51,[6]Регистрация!$B$7:$M$71,4,FALSE)," ",VLOOKUP(C51,[6]Регистрация!$B$7:$M$71,5,FALSE)))</f>
        <v>Конанюк Константин Богданович</v>
      </c>
      <c r="E51" s="69" t="str">
        <f>IF(C51=0,0,VLOOKUP(C51,[6]Регистрация!$B$7:$M$71,11,FALSE))</f>
        <v>Грязи</v>
      </c>
      <c r="F51" s="69" t="str">
        <f>IF(C51=0,0,VLOOKUP(C51,[6]Регистрация!$B$7:$M$71,12,FALSE))</f>
        <v>Моисеев И.Н.</v>
      </c>
      <c r="G51" s="13">
        <f>IF(C51=0,0,VLOOKUP(C51,[6]Регистрация!$B$7:$M$71,6,FALSE))</f>
        <v>38405</v>
      </c>
      <c r="H51" s="12">
        <f>IF(C51=0,0,VLOOKUP(C51,[6]Регистрация!$B$7:$M$71,8,FALSE))</f>
        <v>10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0.5" customHeight="1">
      <c r="A52" s="384" t="s">
        <v>694</v>
      </c>
      <c r="B52" s="385"/>
      <c r="C52" s="385"/>
      <c r="D52" s="385"/>
      <c r="E52" s="385"/>
      <c r="F52" s="385"/>
      <c r="G52" s="385"/>
      <c r="H52" s="38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0.5" customHeight="1">
      <c r="A53" s="9">
        <v>1</v>
      </c>
      <c r="B53" s="3"/>
      <c r="C53" s="82">
        <v>11</v>
      </c>
      <c r="D53" s="11" t="str">
        <f>IF(C53=0,0,CONCATENATE(VLOOKUP(C53,[7]Регистрация!$B$7:$M$71,3,FALSE)," ",VLOOKUP(C53,[7]Регистрация!$B$7:$M$71,4,FALSE)," ",VLOOKUP(C53,[7]Регистрация!$B$7:$M$71,5,FALSE)))</f>
        <v>Соломахин Максим Дмитриевич</v>
      </c>
      <c r="E53" s="69" t="str">
        <f>IF(C53=0,0,VLOOKUP(C53,[7]Регистрация!$B$7:$M$71,11,FALSE))</f>
        <v>Липецк KAN</v>
      </c>
      <c r="F53" s="69" t="str">
        <f>IF(C53=0,0,VLOOKUP(C53,[7]Регистрация!$B$7:$M$71,12,FALSE))</f>
        <v>Цуканов А.С.</v>
      </c>
      <c r="G53" s="13">
        <f>IF(C53=0,0,VLOOKUP(C53,[7]Регистрация!$B$7:$M$71,6,FALSE))</f>
        <v>38345</v>
      </c>
      <c r="H53" s="12">
        <f>IF(C53=0,0,VLOOKUP(C53,[7]Регистрация!$B$7:$M$71,8,FALSE))</f>
        <v>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0.5" customHeight="1">
      <c r="A54" s="9">
        <v>2</v>
      </c>
      <c r="B54" s="3"/>
      <c r="C54" s="82">
        <v>12</v>
      </c>
      <c r="D54" s="11" t="str">
        <f>IF(C54=0,0,CONCATENATE(VLOOKUP(C54,[7]Регистрация!$B$7:$M$71,3,FALSE)," ",VLOOKUP(C54,[7]Регистрация!$B$7:$M$71,4,FALSE)," ",VLOOKUP(C54,[7]Регистрация!$B$7:$M$71,5,FALSE)))</f>
        <v>Болдырев Максим Анатольевич</v>
      </c>
      <c r="E54" s="69" t="str">
        <f>IF(C54=0,0,VLOOKUP(C54,[7]Регистрация!$B$7:$M$71,11,FALSE))</f>
        <v>Липецк KAN</v>
      </c>
      <c r="F54" s="69" t="str">
        <f>IF(C54=0,0,VLOOKUP(C54,[7]Регистрация!$B$7:$M$71,12,FALSE))</f>
        <v>Цуканов А.С.</v>
      </c>
      <c r="G54" s="13">
        <f>IF(C54=0,0,VLOOKUP(C54,[7]Регистрация!$B$7:$M$71,6,FALSE))</f>
        <v>38211</v>
      </c>
      <c r="H54" s="12">
        <f>IF(C54=0,0,VLOOKUP(C54,[7]Регистрация!$B$7:$M$71,8,FALSE))</f>
        <v>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0.5" customHeight="1">
      <c r="A55" s="9">
        <v>3</v>
      </c>
      <c r="B55" s="3"/>
      <c r="C55" s="83">
        <v>1</v>
      </c>
      <c r="D55" s="11" t="str">
        <f>IF(C55=0,0,CONCATENATE(VLOOKUP(C55,[7]Регистрация!$B$7:$M$71,3,FALSE)," ",VLOOKUP(C55,[7]Регистрация!$B$7:$M$71,4,FALSE)," ",VLOOKUP(C55,[7]Регистрация!$B$7:$M$71,5,FALSE)))</f>
        <v>Дубищев  Даниил Дмитриевич</v>
      </c>
      <c r="E55" s="69" t="str">
        <f>IF(C55=0,0,VLOOKUP(C55,[7]Регистрация!$B$7:$M$71,11,FALSE))</f>
        <v>Елец</v>
      </c>
      <c r="F55" s="69" t="str">
        <f>IF(C55=0,0,VLOOKUP(C55,[7]Регистрация!$B$7:$M$71,12,FALSE))</f>
        <v>Акопян А.В.</v>
      </c>
      <c r="G55" s="13">
        <f>IF(C55=0,0,VLOOKUP(C55,[7]Регистрация!$B$7:$M$71,6,FALSE))</f>
        <v>38264</v>
      </c>
      <c r="H55" s="12">
        <f>IF(C55=0,0,VLOOKUP(C55,[7]Регистрация!$B$7:$M$71,8,FALSE))</f>
        <v>7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0.5" customHeight="1">
      <c r="A56" s="9">
        <v>4</v>
      </c>
      <c r="B56" s="3"/>
      <c r="C56" s="83">
        <v>14</v>
      </c>
      <c r="D56" s="11" t="str">
        <f>IF(C56=0,0,CONCATENATE(VLOOKUP(C56,[7]Регистрация!$B$7:$M$71,3,FALSE)," ",VLOOKUP(C56,[7]Регистрация!$B$7:$M$71,4,FALSE)," ",VLOOKUP(C56,[7]Регистрация!$B$7:$M$71,5,FALSE)))</f>
        <v>Майстренко Марат Алексеевич</v>
      </c>
      <c r="E56" s="69" t="str">
        <f>IF(C56=0,0,VLOOKUP(C56,[7]Регистрация!$B$7:$M$71,11,FALSE))</f>
        <v>Москва</v>
      </c>
      <c r="F56" s="69" t="str">
        <f>IF(C56=0,0,VLOOKUP(C56,[7]Регистрация!$B$7:$M$71,12,FALSE))</f>
        <v>Конышев С.В.</v>
      </c>
      <c r="G56" s="13">
        <f>IF(C56=0,0,VLOOKUP(C56,[7]Регистрация!$B$7:$M$71,6,FALSE))</f>
        <v>38139</v>
      </c>
      <c r="H56" s="12">
        <f>IF(C56=0,0,VLOOKUP(C56,[7]Регистрация!$B$7:$M$71,8,FALSE))</f>
        <v>8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0.5" customHeight="1">
      <c r="A57" s="384" t="s">
        <v>695</v>
      </c>
      <c r="B57" s="385"/>
      <c r="C57" s="385"/>
      <c r="D57" s="385"/>
      <c r="E57" s="385"/>
      <c r="F57" s="385"/>
      <c r="G57" s="385"/>
      <c r="H57" s="386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0.5" customHeight="1">
      <c r="A58" s="9">
        <v>1</v>
      </c>
      <c r="B58" s="3"/>
      <c r="C58" s="82">
        <v>6</v>
      </c>
      <c r="D58" s="11" t="str">
        <f>IF(C58=0,0,CONCATENATE(VLOOKUP(C58,[8]Регистрация!$B$7:$M$71,3,FALSE)," ",VLOOKUP(C58,[8]Регистрация!$B$7:$M$71,4,FALSE)," ",VLOOKUP(C58,[8]Регистрация!$B$7:$M$71,5,FALSE)))</f>
        <v>Савин Дмитрий Алексеевич</v>
      </c>
      <c r="E58" s="69" t="str">
        <f>IF(C58=0,0,VLOOKUP(C58,[8]Регистрация!$B$7:$M$71,11,FALSE))</f>
        <v>Липецк KAN</v>
      </c>
      <c r="F58" s="69" t="str">
        <f>IF(C58=0,0,VLOOKUP(C58,[8]Регистрация!$B$7:$M$71,12,FALSE))</f>
        <v>Цуканов А.С.</v>
      </c>
      <c r="G58" s="13">
        <f>IF(C58=0,0,VLOOKUP(C58,[8]Регистрация!$B$7:$M$71,6,FALSE))</f>
        <v>38371</v>
      </c>
      <c r="H58" s="12">
        <f>IF(C58=0,0,VLOOKUP(C58,[8]Регистрация!$B$7:$M$71,8,FALSE))</f>
        <v>8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0.5" customHeight="1">
      <c r="A59" s="9">
        <v>2</v>
      </c>
      <c r="B59" s="3"/>
      <c r="C59" s="82">
        <v>5</v>
      </c>
      <c r="D59" s="11" t="str">
        <f>IF(C59=0,0,CONCATENATE(VLOOKUP(C59,[8]Регистрация!$B$7:$M$71,3,FALSE)," ",VLOOKUP(C59,[8]Регистрация!$B$7:$M$71,4,FALSE)," ",VLOOKUP(C59,[8]Регистрация!$B$7:$M$71,5,FALSE)))</f>
        <v>Шкатов  Юрий  Алексеевич</v>
      </c>
      <c r="E59" s="69" t="str">
        <f>IF(C59=0,0,VLOOKUP(C59,[8]Регистрация!$B$7:$M$71,11,FALSE))</f>
        <v>Липецк IKO</v>
      </c>
      <c r="F59" s="69" t="str">
        <f>IF(C59=0,0,VLOOKUP(C59,[8]Регистрация!$B$7:$M$71,12,FALSE))</f>
        <v>Бедоян В.Г</v>
      </c>
      <c r="G59" s="13">
        <f>IF(C59=0,0,VLOOKUP(C59,[8]Регистрация!$B$7:$M$71,6,FALSE))</f>
        <v>38081</v>
      </c>
      <c r="H59" s="12">
        <f>IF(C59=0,0,VLOOKUP(C59,[8]Регистрация!$B$7:$M$71,8,FALSE))</f>
        <v>6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0.5" customHeight="1">
      <c r="A60" s="9">
        <v>3</v>
      </c>
      <c r="B60" s="3"/>
      <c r="C60" s="83">
        <v>3</v>
      </c>
      <c r="D60" s="11" t="str">
        <f>IF(C60=0,0,CONCATENATE(VLOOKUP(C60,[8]Регистрация!$B$7:$M$71,3,FALSE)," ",VLOOKUP(C60,[8]Регистрация!$B$7:$M$71,4,FALSE)," ",VLOOKUP(C60,[8]Регистрация!$B$7:$M$71,5,FALSE)))</f>
        <v>Котов  Александр Михаилович</v>
      </c>
      <c r="E60" s="69" t="str">
        <f>IF(C60=0,0,VLOOKUP(C60,[8]Регистрация!$B$7:$M$71,11,FALSE))</f>
        <v>Елец</v>
      </c>
      <c r="F60" s="69" t="str">
        <f>IF(C60=0,0,VLOOKUP(C60,[8]Регистрация!$B$7:$M$71,12,FALSE))</f>
        <v>Акопян А.В.</v>
      </c>
      <c r="G60" s="13">
        <f>IF(C60=0,0,VLOOKUP(C60,[8]Регистрация!$B$7:$M$71,6,FALSE))</f>
        <v>38530</v>
      </c>
      <c r="H60" s="12">
        <f>IF(C60=0,0,VLOOKUP(C60,[8]Регистрация!$B$7:$M$71,8,FALSE))</f>
        <v>7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0.5" customHeight="1">
      <c r="A61" s="9">
        <v>4</v>
      </c>
      <c r="B61" s="3"/>
      <c r="C61" s="83">
        <v>4</v>
      </c>
      <c r="D61" s="11" t="str">
        <f>IF(C61=0,0,CONCATENATE(VLOOKUP(C61,[8]Регистрация!$B$7:$M$71,3,FALSE)," ",VLOOKUP(C61,[8]Регистрация!$B$7:$M$71,4,FALSE)," ",VLOOKUP(C61,[8]Регистрация!$B$7:$M$71,5,FALSE)))</f>
        <v>Шатских Григорий Владимирович</v>
      </c>
      <c r="E61" s="69" t="str">
        <f>IF(C61=0,0,VLOOKUP(C61,[8]Регистрация!$B$7:$M$71,11,FALSE))</f>
        <v>Задонск</v>
      </c>
      <c r="F61" s="69" t="str">
        <f>IF(C61=0,0,VLOOKUP(C61,[8]Регистрация!$B$7:$M$71,12,FALSE))</f>
        <v>Лобеев А.А.</v>
      </c>
      <c r="G61" s="13">
        <f>IF(C61=0,0,VLOOKUP(C61,[8]Регистрация!$B$7:$M$71,6,FALSE))</f>
        <v>38352</v>
      </c>
      <c r="H61" s="12">
        <f>IF(C61=0,0,VLOOKUP(C61,[8]Регистрация!$B$7:$M$71,8,FALSE))</f>
        <v>5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0.5" customHeight="1">
      <c r="A62" s="384" t="s">
        <v>696</v>
      </c>
      <c r="B62" s="385"/>
      <c r="C62" s="385"/>
      <c r="D62" s="385"/>
      <c r="E62" s="385"/>
      <c r="F62" s="385"/>
      <c r="G62" s="385"/>
      <c r="H62" s="38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0.5" customHeight="1">
      <c r="A63" s="9">
        <v>1</v>
      </c>
      <c r="B63" s="3"/>
      <c r="C63" s="82">
        <v>9</v>
      </c>
      <c r="D63" s="11" t="str">
        <f>IF(C63=0,0,CONCATENATE(VLOOKUP(C63,[9]Регистрация!$B$7:$M$71,3,FALSE)," ",VLOOKUP(C63,[9]Регистрация!$B$7:$M$71,4,FALSE)," ",VLOOKUP(C63,[9]Регистрация!$B$7:$M$71,5,FALSE)))</f>
        <v>Бедоян Лев Владимирович</v>
      </c>
      <c r="E63" s="69" t="str">
        <f>IF(C63=0,0,VLOOKUP(C63,[9]Регистрация!$B$7:$M$71,11,FALSE))</f>
        <v>Липецк IKO</v>
      </c>
      <c r="F63" s="69" t="str">
        <f>IF(C63=0,0,VLOOKUP(C63,[9]Регистрация!$B$7:$M$71,12,FALSE))</f>
        <v>Бедоян В.Г</v>
      </c>
      <c r="G63" s="13">
        <f>IF(C63=0,0,VLOOKUP(C63,[9]Регистрация!$B$7:$M$71,6,FALSE))</f>
        <v>38669</v>
      </c>
      <c r="H63" s="12">
        <v>9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0.5" customHeight="1">
      <c r="A64" s="9">
        <v>2</v>
      </c>
      <c r="B64" s="3"/>
      <c r="C64" s="82">
        <v>8</v>
      </c>
      <c r="D64" s="11" t="str">
        <f>IF(C64=0,0,CONCATENATE(VLOOKUP(C64,[9]Регистрация!$B$7:$M$71,3,FALSE)," ",VLOOKUP(C64,[9]Регистрация!$B$7:$M$71,4,FALSE)," ",VLOOKUP(C64,[9]Регистрация!$B$7:$M$71,5,FALSE)))</f>
        <v>Черных Иван Александрович</v>
      </c>
      <c r="E64" s="69" t="str">
        <f>IF(C64=0,0,VLOOKUP(C64,[9]Регистрация!$B$7:$M$71,11,FALSE))</f>
        <v>Липецк IKO</v>
      </c>
      <c r="F64" s="69" t="str">
        <f>IF(C64=0,0,VLOOKUP(C64,[9]Регистрация!$B$7:$M$71,12,FALSE))</f>
        <v>Горбунов А.С.</v>
      </c>
      <c r="G64" s="13">
        <f>IF(C64=0,0,VLOOKUP(C64,[9]Регистрация!$B$7:$M$71,6,FALSE))</f>
        <v>38163</v>
      </c>
      <c r="H64" s="12">
        <f>IF(C64=0,0,VLOOKUP(C64,[9]Регистрация!$B$7:$M$71,8,FALSE))</f>
        <v>8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0.5" customHeight="1">
      <c r="A65" s="9">
        <v>3</v>
      </c>
      <c r="B65" s="3"/>
      <c r="C65" s="83">
        <v>6</v>
      </c>
      <c r="D65" s="11" t="str">
        <f>IF(C65=0,0,CONCATENATE(VLOOKUP(C65,[9]Регистрация!$B$7:$M$71,3,FALSE)," ",VLOOKUP(C65,[9]Регистрация!$B$7:$M$71,4,FALSE)," ",VLOOKUP(C65,[9]Регистрация!$B$7:$M$71,5,FALSE)))</f>
        <v>Чернухин Кирилл Сергеевич</v>
      </c>
      <c r="E65" s="69" t="str">
        <f>IF(C65=0,0,VLOOKUP(C65,[9]Регистрация!$B$7:$M$71,11,FALSE))</f>
        <v>Задонск</v>
      </c>
      <c r="F65" s="69" t="str">
        <f>IF(C65=0,0,VLOOKUP(C65,[9]Регистрация!$B$7:$M$71,12,FALSE))</f>
        <v>Лобеев А.А.</v>
      </c>
      <c r="G65" s="13">
        <f>IF(C65=0,0,VLOOKUP(C65,[9]Регистрация!$B$7:$M$71,6,FALSE))</f>
        <v>38327</v>
      </c>
      <c r="H65" s="12">
        <f>IF(C65=0,0,VLOOKUP(C65,[9]Регистрация!$B$7:$M$71,8,FALSE))</f>
        <v>7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9.75" customHeight="1">
      <c r="A66" s="9">
        <v>4</v>
      </c>
      <c r="B66" s="3"/>
      <c r="C66" s="83">
        <v>7</v>
      </c>
      <c r="D66" s="11" t="str">
        <f>IF(C66=0,0,CONCATENATE(VLOOKUP(C66,[9]Регистрация!$B$7:$M$71,3,FALSE)," ",VLOOKUP(C66,[9]Регистрация!$B$7:$M$71,4,FALSE)," ",VLOOKUP(C66,[9]Регистрация!$B$7:$M$71,5,FALSE)))</f>
        <v>Долгов  Роман Сергеевич</v>
      </c>
      <c r="E66" s="69" t="str">
        <f>IF(C66=0,0,VLOOKUP(C66,[9]Регистрация!$B$7:$M$71,11,FALSE))</f>
        <v>Липецк IKO</v>
      </c>
      <c r="F66" s="69" t="str">
        <f>IF(C66=0,0,VLOOKUP(C66,[9]Регистрация!$B$7:$M$71,12,FALSE))</f>
        <v>Бедоян В.Г</v>
      </c>
      <c r="G66" s="13">
        <f>IF(C66=0,0,VLOOKUP(C66,[9]Регистрация!$B$7:$M$71,6,FALSE))</f>
        <v>38225</v>
      </c>
      <c r="H66" s="12">
        <f>IF(C66=0,0,VLOOKUP(C66,[9]Регистрация!$B$7:$M$71,8,FALSE))</f>
        <v>9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0.5" hidden="1" customHeight="1">
      <c r="A67" s="384" t="s">
        <v>245</v>
      </c>
      <c r="B67" s="385"/>
      <c r="C67" s="385"/>
      <c r="D67" s="385"/>
      <c r="E67" s="385"/>
      <c r="F67" s="385"/>
      <c r="G67" s="385"/>
      <c r="H67" s="38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0.5" hidden="1" customHeight="1">
      <c r="A68" s="9"/>
      <c r="B68" s="3"/>
      <c r="C68" s="85"/>
      <c r="D68" s="11"/>
      <c r="E68" s="69"/>
      <c r="F68" s="86"/>
      <c r="G68" s="13"/>
      <c r="H68" s="12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0.5" hidden="1" customHeight="1">
      <c r="A69" s="9"/>
      <c r="B69" s="3"/>
      <c r="C69" s="85"/>
      <c r="D69" s="11"/>
      <c r="E69" s="69"/>
      <c r="F69" s="87"/>
      <c r="G69" s="13"/>
      <c r="H69" s="12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0.5" hidden="1" customHeight="1">
      <c r="A70" s="9"/>
      <c r="B70" s="3"/>
      <c r="C70" s="85"/>
      <c r="D70" s="11"/>
      <c r="E70" s="69"/>
      <c r="F70" s="88"/>
      <c r="G70" s="13"/>
      <c r="H70" s="12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0.5" hidden="1" customHeight="1">
      <c r="A71" s="9"/>
      <c r="B71" s="3"/>
      <c r="C71" s="85"/>
      <c r="D71" s="11"/>
      <c r="E71" s="69"/>
      <c r="F71" s="88"/>
      <c r="G71" s="13"/>
      <c r="H71" s="12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0.5" customHeight="1">
      <c r="A72" s="384" t="s">
        <v>697</v>
      </c>
      <c r="B72" s="385"/>
      <c r="C72" s="385"/>
      <c r="D72" s="385"/>
      <c r="E72" s="385"/>
      <c r="F72" s="385"/>
      <c r="G72" s="385"/>
      <c r="H72" s="38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0.5" customHeight="1">
      <c r="A73" s="9">
        <v>1</v>
      </c>
      <c r="B73" s="3"/>
      <c r="C73" s="82">
        <v>7</v>
      </c>
      <c r="D73" s="11" t="str">
        <f>IF(C73=0,0,CONCATENATE(VLOOKUP(C73,[10]Регистрация!$B$7:$M$71,3,FALSE)," ",VLOOKUP(C73,[10]Регистрация!$B$7:$M$71,4,FALSE)," ",VLOOKUP(C73,[10]Регистрация!$B$7:$M$71,5,FALSE)))</f>
        <v>Белотелов  Игорь Викторович</v>
      </c>
      <c r="E73" s="69" t="str">
        <f>IF(C73=0,0,VLOOKUP(C73,[10]Регистрация!$B$7:$M$71,11,FALSE))</f>
        <v>Липецк KAN</v>
      </c>
      <c r="F73" s="69" t="str">
        <f>IF(C73=0,0,VLOOKUP(C73,[10]Регистрация!$B$7:$M$71,12,FALSE))</f>
        <v>Цуканов А.С.</v>
      </c>
      <c r="G73" s="13">
        <f>IF(C73=0,0,VLOOKUP(C73,[10]Регистрация!$B$7:$M$71,6,FALSE))</f>
        <v>37915</v>
      </c>
      <c r="H73" s="12">
        <f>IF(C73=0,0,VLOOKUP(C73,[10]Регистрация!$B$7:$M$71,8,FALSE))</f>
        <v>6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0.5" customHeight="1">
      <c r="A74" s="9">
        <v>2</v>
      </c>
      <c r="B74" s="3"/>
      <c r="C74" s="82">
        <v>6</v>
      </c>
      <c r="D74" s="11" t="str">
        <f>IF(C74=0,0,CONCATENATE(VLOOKUP(C74,[10]Регистрация!$B$7:$M$71,3,FALSE)," ",VLOOKUP(C74,[10]Регистрация!$B$7:$M$71,4,FALSE)," ",VLOOKUP(C74,[10]Регистрация!$B$7:$M$71,5,FALSE)))</f>
        <v>Кугут  Иван Сергеевич</v>
      </c>
      <c r="E74" s="69" t="str">
        <f>IF(C74=0,0,VLOOKUP(C74,[10]Регистрация!$B$7:$M$71,11,FALSE))</f>
        <v>Липецк KAN</v>
      </c>
      <c r="F74" s="69" t="str">
        <f>IF(C74=0,0,VLOOKUP(C74,[10]Регистрация!$B$7:$M$71,12,FALSE))</f>
        <v>Цуканов А.С.</v>
      </c>
      <c r="G74" s="13">
        <f>IF(C74=0,0,VLOOKUP(C74,[10]Регистрация!$B$7:$M$71,6,FALSE))</f>
        <v>38057</v>
      </c>
      <c r="H74" s="12">
        <f>IF(C74=0,0,VLOOKUP(C74,[10]Регистрация!$B$7:$M$71,8,FALSE))</f>
        <v>6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0.5" customHeight="1">
      <c r="A75" s="9">
        <v>3</v>
      </c>
      <c r="B75" s="3"/>
      <c r="C75" s="83">
        <v>12</v>
      </c>
      <c r="D75" s="11" t="str">
        <f>IF(C75=0,0,CONCATENATE(VLOOKUP(C75,[10]Регистрация!$B$7:$M$71,3,FALSE)," ",VLOOKUP(C75,[10]Регистрация!$B$7:$M$71,4,FALSE)," ",VLOOKUP(C75,[10]Регистрация!$B$7:$M$71,5,FALSE)))</f>
        <v>Крассовский Александр Владимирович</v>
      </c>
      <c r="E75" s="69" t="str">
        <f>IF(C75=0,0,VLOOKUP(C75,[10]Регистрация!$B$7:$M$71,11,FALSE))</f>
        <v>Тамбовская обл</v>
      </c>
      <c r="F75" s="69" t="str">
        <f>IF(C75=0,0,VLOOKUP(C75,[10]Регистрация!$B$7:$M$71,12,FALSE))</f>
        <v>Антакова Е.В.</v>
      </c>
      <c r="G75" s="13">
        <f>IF(C75=0,0,VLOOKUP(C75,[10]Регистрация!$B$7:$M$71,6,FALSE))</f>
        <v>38019</v>
      </c>
      <c r="H75" s="12">
        <f>IF(C75=0,0,VLOOKUP(C75,[10]Регистрация!$B$7:$M$71,8,FALSE))</f>
        <v>7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0.5" customHeight="1">
      <c r="A76" s="9">
        <v>4</v>
      </c>
      <c r="B76" s="3"/>
      <c r="C76" s="83">
        <v>1</v>
      </c>
      <c r="D76" s="11" t="str">
        <f>IF(C76=0,0,CONCATENATE(VLOOKUP(C76,[10]Регистрация!$B$7:$M$71,3,FALSE)," ",VLOOKUP(C76,[10]Регистрация!$B$7:$M$71,4,FALSE)," ",VLOOKUP(C76,[10]Регистрация!$B$7:$M$71,5,FALSE)))</f>
        <v>Шурухин Артем  Михайлович</v>
      </c>
      <c r="E76" s="69" t="str">
        <f>IF(C76=0,0,VLOOKUP(C76,[10]Регистрация!$B$7:$M$71,11,FALSE))</f>
        <v>Грязи</v>
      </c>
      <c r="F76" s="69" t="str">
        <f>IF(C76=0,0,VLOOKUP(C76,[10]Регистрация!$B$7:$M$71,12,FALSE))</f>
        <v>Моисеев И.Н.</v>
      </c>
      <c r="G76" s="13">
        <f>IF(C76=0,0,VLOOKUP(C76,[10]Регистрация!$B$7:$M$71,6,FALSE))</f>
        <v>37919</v>
      </c>
      <c r="H76" s="12">
        <f>IF(C76=0,0,VLOOKUP(C76,[10]Регистрация!$B$7:$M$71,8,FALSE))</f>
        <v>7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0.5" customHeight="1">
      <c r="A77" s="384" t="s">
        <v>698</v>
      </c>
      <c r="B77" s="385"/>
      <c r="C77" s="385"/>
      <c r="D77" s="385"/>
      <c r="E77" s="385"/>
      <c r="F77" s="385"/>
      <c r="G77" s="385"/>
      <c r="H77" s="38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0.5" customHeight="1">
      <c r="A78" s="9">
        <v>1</v>
      </c>
      <c r="B78" s="3"/>
      <c r="C78" s="84">
        <v>8</v>
      </c>
      <c r="D78" s="11" t="str">
        <f>IF(C78=0,0,CONCATENATE(VLOOKUP(C78,[11]Регистрация!$B$7:$M$71,3,FALSE)," ",VLOOKUP(C78,[11]Регистрация!$B$7:$M$71,4,FALSE)," ",VLOOKUP(C78,[11]Регистрация!$B$7:$M$71,5,FALSE)))</f>
        <v>Назаров Илья Романович</v>
      </c>
      <c r="E78" s="69" t="str">
        <f>IF(C78=0,0,VLOOKUP(C78,[11]Регистрация!$B$7:$M$71,11,FALSE))</f>
        <v>Тамбовская обл</v>
      </c>
      <c r="F78" s="69" t="str">
        <f>IF(C78=0,0,VLOOKUP(C78,[11]Регистрация!$B$7:$M$71,12,FALSE))</f>
        <v>Сафронов А.В.</v>
      </c>
      <c r="G78" s="13" t="str">
        <f>IF(C78=0,0,VLOOKUP(C78,[11]Регистрация!$B$7:$M$71,6,FALSE))</f>
        <v>30.08.2003 </v>
      </c>
      <c r="H78" s="12">
        <f>IF(C78=0,0,VLOOKUP(C78,[11]Регистрация!$B$7:$M$71,8,FALSE))</f>
        <v>2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0.5" customHeight="1">
      <c r="A79" s="9">
        <v>2</v>
      </c>
      <c r="B79" s="3"/>
      <c r="C79" s="84">
        <v>1</v>
      </c>
      <c r="D79" s="11" t="str">
        <f>IF(C79=0,0,CONCATENATE(VLOOKUP(C79,[11]Регистрация!$B$7:$M$71,3,FALSE)," ",VLOOKUP(C79,[11]Регистрация!$B$7:$M$71,4,FALSE)," ",VLOOKUP(C79,[11]Регистрация!$B$7:$M$71,5,FALSE)))</f>
        <v>Большаков Захар Андреевич</v>
      </c>
      <c r="E79" s="69" t="str">
        <f>IF(C79=0,0,VLOOKUP(C79,[11]Регистрация!$B$7:$M$71,11,FALSE))</f>
        <v>Елец</v>
      </c>
      <c r="F79" s="69" t="str">
        <f>IF(C79=0,0,VLOOKUP(C79,[11]Регистрация!$B$7:$M$71,12,FALSE))</f>
        <v>Кобзев М.А.</v>
      </c>
      <c r="G79" s="13">
        <f>IF(C79=0,0,VLOOKUP(C79,[11]Регистрация!$B$7:$M$71,6,FALSE))</f>
        <v>37545</v>
      </c>
      <c r="H79" s="12">
        <f>IF(C79=0,0,VLOOKUP(C79,[11]Регистрация!$B$7:$M$71,8,FALSE))</f>
        <v>8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0.5" customHeight="1">
      <c r="A80" s="9">
        <v>3</v>
      </c>
      <c r="B80" s="3"/>
      <c r="C80" s="85">
        <v>3</v>
      </c>
      <c r="D80" s="11" t="str">
        <f>IF(C80=0,0,CONCATENATE(VLOOKUP(C80,[11]Регистрация!$B$7:$M$71,3,FALSE)," ",VLOOKUP(C80,[11]Регистрация!$B$7:$M$71,4,FALSE)," ",VLOOKUP(C80,[11]Регистрация!$B$7:$M$71,5,FALSE)))</f>
        <v>Зиборов Арсений Денисович</v>
      </c>
      <c r="E80" s="69" t="str">
        <f>IF(C80=0,0,VLOOKUP(C80,[11]Регистрация!$B$7:$M$71,11,FALSE))</f>
        <v>Елец</v>
      </c>
      <c r="F80" s="69" t="str">
        <f>IF(C80=0,0,VLOOKUP(C80,[11]Регистрация!$B$7:$M$71,12,FALSE))</f>
        <v>Акопян А.В.</v>
      </c>
      <c r="G80" s="13">
        <f>IF(C80=0,0,VLOOKUP(C80,[11]Регистрация!$B$7:$M$71,6,FALSE))</f>
        <v>37957</v>
      </c>
      <c r="H80" s="12">
        <f>IF(C80=0,0,VLOOKUP(C80,[11]Регистрация!$B$7:$M$71,8,FALSE))</f>
        <v>6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0.5" customHeight="1">
      <c r="A81" s="9">
        <v>4</v>
      </c>
      <c r="B81" s="3"/>
      <c r="C81" s="85">
        <v>6</v>
      </c>
      <c r="D81" s="11" t="str">
        <f>IF(C81=0,0,CONCATENATE(VLOOKUP(C81,[11]Регистрация!$B$7:$M$71,3,FALSE)," ",VLOOKUP(C81,[11]Регистрация!$B$7:$M$71,4,FALSE)," ",VLOOKUP(C81,[11]Регистрация!$B$7:$M$71,5,FALSE)))</f>
        <v>Чалов Артём Андреевич</v>
      </c>
      <c r="E81" s="69" t="str">
        <f>IF(C81=0,0,VLOOKUP(C81,[11]Регистрация!$B$7:$M$71,11,FALSE))</f>
        <v>Москва</v>
      </c>
      <c r="F81" s="69" t="str">
        <f>IF(C81=0,0,VLOOKUP(C81,[11]Регистрация!$B$7:$M$71,12,FALSE))</f>
        <v>Анаян О.Г.</v>
      </c>
      <c r="G81" s="13">
        <f>IF(C81=0,0,VLOOKUP(C81,[11]Регистрация!$B$7:$M$71,6,FALSE))</f>
        <v>37688</v>
      </c>
      <c r="H81" s="12">
        <f>IF(C81=0,0,VLOOKUP(C81,[11]Регистрация!$B$7:$M$71,8,FALSE))</f>
        <v>4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0.5" customHeight="1">
      <c r="A82" s="384" t="s">
        <v>699</v>
      </c>
      <c r="B82" s="385"/>
      <c r="C82" s="385"/>
      <c r="D82" s="385"/>
      <c r="E82" s="385"/>
      <c r="F82" s="385"/>
      <c r="G82" s="385"/>
      <c r="H82" s="38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0.5" customHeight="1">
      <c r="A83" s="9">
        <v>1</v>
      </c>
      <c r="B83" s="3"/>
      <c r="C83" s="82">
        <v>7</v>
      </c>
      <c r="D83" s="11" t="str">
        <f>IF(C83=0,0,CONCATENATE(VLOOKUP(C83,[12]Регистрация!$B$7:$M$71,3,FALSE)," ",VLOOKUP(C83,[12]Регистрация!$B$7:$M$71,4,FALSE)," ",VLOOKUP(C83,[12]Регистрация!$B$7:$M$71,5,FALSE)))</f>
        <v>Журавлев Павел Ильич  </v>
      </c>
      <c r="E83" s="69" t="str">
        <f>IF(C83=0,0,VLOOKUP(C83,[12]Регистрация!$B$7:$M$71,11,FALSE))</f>
        <v>Москва</v>
      </c>
      <c r="F83" s="69" t="str">
        <f>IF(C83=0,0,VLOOKUP(C83,[12]Регистрация!$B$7:$M$71,12,FALSE))</f>
        <v>Анаян О.Г.</v>
      </c>
      <c r="G83" s="13">
        <f>IF(C83=0,0,VLOOKUP(C83,[12]Регистрация!$B$7:$M$71,6,FALSE))</f>
        <v>37607</v>
      </c>
      <c r="H83" s="12">
        <f>IF(C83=0,0,VLOOKUP(C83,[12]Регистрация!$B$7:$M$71,8,FALSE))</f>
        <v>5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0.5" customHeight="1">
      <c r="A84" s="9">
        <v>2</v>
      </c>
      <c r="B84" s="3"/>
      <c r="C84" s="82">
        <v>8</v>
      </c>
      <c r="D84" s="11" t="str">
        <f>IF(C84=0,0,CONCATENATE(VLOOKUP(C84,[12]Регистрация!$B$7:$M$71,3,FALSE)," ",VLOOKUP(C84,[12]Регистрация!$B$7:$M$71,4,FALSE)," ",VLOOKUP(C84,[12]Регистрация!$B$7:$M$71,5,FALSE)))</f>
        <v>Ельмеев Сергей Михайлович</v>
      </c>
      <c r="E84" s="69" t="str">
        <f>IF(C84=0,0,VLOOKUP(C84,[12]Регистрация!$B$7:$M$71,11,FALSE))</f>
        <v>Москва</v>
      </c>
      <c r="F84" s="69" t="str">
        <f>IF(C84=0,0,VLOOKUP(C84,[12]Регистрация!$B$7:$M$71,12,FALSE))</f>
        <v>Конышев С.В.</v>
      </c>
      <c r="G84" s="13">
        <f>IF(C84=0,0,VLOOKUP(C84,[12]Регистрация!$B$7:$M$71,6,FALSE))</f>
        <v>37474</v>
      </c>
      <c r="H84" s="12" t="str">
        <f>IF(C84=0,0,VLOOKUP(C84,[12]Регистрация!$B$7:$M$71,8,FALSE))</f>
        <v>6 кю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0.5" customHeight="1">
      <c r="A85" s="9">
        <v>3</v>
      </c>
      <c r="B85" s="3"/>
      <c r="C85" s="83">
        <v>6</v>
      </c>
      <c r="D85" s="11" t="str">
        <f>IF(C85=0,0,CONCATENATE(VLOOKUP(C85,[12]Регистрация!$B$7:$M$71,3,FALSE)," ",VLOOKUP(C85,[12]Регистрация!$B$7:$M$71,4,FALSE)," ",VLOOKUP(C85,[12]Регистрация!$B$7:$M$71,5,FALSE)))</f>
        <v>Савков Кирилл Алексеевич</v>
      </c>
      <c r="E85" s="69" t="str">
        <f>IF(C85=0,0,VLOOKUP(C85,[12]Регистрация!$B$7:$M$71,11,FALSE))</f>
        <v>Елец</v>
      </c>
      <c r="F85" s="69" t="str">
        <f>IF(C85=0,0,VLOOKUP(C85,[12]Регистрация!$B$7:$M$71,12,FALSE))</f>
        <v>Сальков П.С.</v>
      </c>
      <c r="G85" s="13">
        <f>IF(C85=0,0,VLOOKUP(C85,[12]Регистрация!$B$7:$M$71,6,FALSE))</f>
        <v>37501</v>
      </c>
      <c r="H85" s="12">
        <f>IF(C85=0,0,VLOOKUP(C85,[12]Регистрация!$B$7:$M$71,8,FALSE))</f>
        <v>10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0.5" customHeight="1">
      <c r="A86" s="9">
        <v>4</v>
      </c>
      <c r="B86" s="3"/>
      <c r="C86" s="83">
        <v>1</v>
      </c>
      <c r="D86" s="11" t="str">
        <f>IF(C86=0,0,CONCATENATE(VLOOKUP(C86,[12]Регистрация!$B$7:$M$71,3,FALSE)," ",VLOOKUP(C86,[12]Регистрация!$B$7:$M$71,4,FALSE)," ",VLOOKUP(C86,[12]Регистрация!$B$7:$M$71,5,FALSE)))</f>
        <v>Истомин Артем Александрович</v>
      </c>
      <c r="E86" s="69" t="str">
        <f>IF(C86=0,0,VLOOKUP(C86,[12]Регистрация!$B$7:$M$71,11,FALSE))</f>
        <v>Грязи</v>
      </c>
      <c r="F86" s="69" t="str">
        <f>IF(C86=0,0,VLOOKUP(C86,[12]Регистрация!$B$7:$M$71,12,FALSE))</f>
        <v>Моисеев И.Н.</v>
      </c>
      <c r="G86" s="13">
        <f>IF(C86=0,0,VLOOKUP(C86,[12]Регистрация!$B$7:$M$71,6,FALSE))</f>
        <v>37710</v>
      </c>
      <c r="H86" s="12">
        <f>IF(C86=0,0,VLOOKUP(C86,[12]Регистрация!$B$7:$M$71,8,FALSE))</f>
        <v>8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0.5" customHeight="1">
      <c r="A87" s="384" t="s">
        <v>246</v>
      </c>
      <c r="B87" s="385"/>
      <c r="C87" s="385"/>
      <c r="D87" s="385"/>
      <c r="E87" s="385"/>
      <c r="F87" s="385"/>
      <c r="G87" s="385"/>
      <c r="H87" s="38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0.5" customHeight="1">
      <c r="A88" s="9">
        <v>1</v>
      </c>
      <c r="B88" s="3"/>
      <c r="C88" s="84">
        <v>1</v>
      </c>
      <c r="D88" s="11" t="str">
        <f>IF(C88=0,0,CONCATENATE(VLOOKUP(C88,[13]Регистрация!$B$7:$M$71,3,FALSE)," ",VLOOKUP(C88,[13]Регистрация!$B$7:$M$71,4,FALSE)," ",VLOOKUP(C88,[13]Регистрация!$B$7:$M$71,5,FALSE)))</f>
        <v>Коноплев Роман Валерьевич</v>
      </c>
      <c r="E88" s="69" t="str">
        <f>IF(C88=0,0,VLOOKUP(C88,[13]Регистрация!$B$7:$M$71,11,FALSE))</f>
        <v>Москва</v>
      </c>
      <c r="F88" s="69" t="str">
        <f>IF(C88=0,0,VLOOKUP(C88,[13]Регистрация!$B$7:$M$71,12,FALSE))</f>
        <v>Анаян О.Г.</v>
      </c>
      <c r="G88" s="13">
        <f>IF(C88=0,0,VLOOKUP(C88,[13]Регистрация!$B$7:$M$71,6,FALSE))</f>
        <v>37707</v>
      </c>
      <c r="H88" s="12" t="str">
        <f>IF(C88=0,0,VLOOKUP(C88,[13]Регистрация!$B$7:$M$71,8,FALSE))</f>
        <v>5 кю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0.5" customHeight="1">
      <c r="A89" s="9">
        <v>2</v>
      </c>
      <c r="B89" s="3"/>
      <c r="C89" s="84">
        <v>6</v>
      </c>
      <c r="D89" s="11" t="str">
        <f>IF(C89=0,0,CONCATENATE(VLOOKUP(C89,[13]Регистрация!$B$7:$M$71,3,FALSE)," ",VLOOKUP(C89,[13]Регистрация!$B$7:$M$71,4,FALSE)," ",VLOOKUP(C89,[13]Регистрация!$B$7:$M$71,5,FALSE)))</f>
        <v>Ерофеев  Максим  Александрович</v>
      </c>
      <c r="E89" s="69" t="str">
        <f>IF(C89=0,0,VLOOKUP(C89,[13]Регистрация!$B$7:$M$71,11,FALSE))</f>
        <v>Тамбовская обл</v>
      </c>
      <c r="F89" s="69" t="str">
        <f>IF(C89=0,0,VLOOKUP(C89,[13]Регистрация!$B$7:$M$71,12,FALSE))</f>
        <v>Семишова Н.Н.</v>
      </c>
      <c r="G89" s="13">
        <f>IF(C89=0,0,VLOOKUP(C89,[13]Регистрация!$B$7:$M$71,6,FALSE))</f>
        <v>37679</v>
      </c>
      <c r="H89" s="12">
        <f>IF(C89=0,0,VLOOKUP(C89,[13]Регистрация!$B$7:$M$71,8,FALSE))</f>
        <v>9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0.5" customHeight="1">
      <c r="A90" s="9">
        <v>3</v>
      </c>
      <c r="B90" s="3"/>
      <c r="C90" s="85">
        <v>4</v>
      </c>
      <c r="D90" s="11" t="str">
        <f>IF(C90=0,0,CONCATENATE(VLOOKUP(C90,[13]Регистрация!$B$7:$M$71,3,FALSE)," ",VLOOKUP(C90,[13]Регистрация!$B$7:$M$71,4,FALSE)," ",VLOOKUP(C90,[13]Регистрация!$B$7:$M$71,5,FALSE)))</f>
        <v>Сурков Вячеслав Олегович</v>
      </c>
      <c r="E90" s="69" t="str">
        <f>IF(C90=0,0,VLOOKUP(C90,[13]Регистрация!$B$7:$M$71,11,FALSE))</f>
        <v>Россошь с\к Химик</v>
      </c>
      <c r="F90" s="69" t="str">
        <f>IF(C90=0,0,VLOOKUP(C90,[13]Регистрация!$B$7:$M$71,12,FALSE))</f>
        <v>Шилов Р.И.</v>
      </c>
      <c r="G90" s="13">
        <f>IF(C90=0,0,VLOOKUP(C90,[13]Регистрация!$B$7:$M$71,6,FALSE))</f>
        <v>37387</v>
      </c>
      <c r="H90" s="12">
        <f>IF(C90=0,0,VLOOKUP(C90,[13]Регистрация!$B$7:$M$71,8,FALSE))</f>
        <v>8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0.5" customHeight="1">
      <c r="A91" s="9">
        <v>4</v>
      </c>
      <c r="B91" s="3"/>
      <c r="C91" s="85">
        <v>7</v>
      </c>
      <c r="D91" s="11" t="str">
        <f>IF(C91=0,0,CONCATENATE(VLOOKUP(C91,[13]Регистрация!$B$7:$M$71,3,FALSE)," ",VLOOKUP(C91,[13]Регистрация!$B$7:$M$71,4,FALSE)," ",VLOOKUP(C91,[13]Регистрация!$B$7:$M$71,5,FALSE)))</f>
        <v>Ломакин  Сергей Александрович</v>
      </c>
      <c r="E91" s="69" t="str">
        <f>IF(C91=0,0,VLOOKUP(C91,[13]Регистрация!$B$7:$M$71,11,FALSE))</f>
        <v>Тамбовская обл</v>
      </c>
      <c r="F91" s="69" t="str">
        <f>IF(C91=0,0,VLOOKUP(C91,[13]Регистрация!$B$7:$M$71,12,FALSE))</f>
        <v>Айриян А.И.</v>
      </c>
      <c r="G91" s="13">
        <f>IF(C91=0,0,VLOOKUP(C91,[13]Регистрация!$B$7:$M$71,6,FALSE))</f>
        <v>37599</v>
      </c>
      <c r="H91" s="12">
        <f>IF(C91=0,0,VLOOKUP(C91,[13]Регистрация!$B$7:$M$71,8,FALSE))</f>
        <v>3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0.5" customHeight="1">
      <c r="A92" s="384" t="s">
        <v>700</v>
      </c>
      <c r="B92" s="385"/>
      <c r="C92" s="385"/>
      <c r="D92" s="385"/>
      <c r="E92" s="385"/>
      <c r="F92" s="385"/>
      <c r="G92" s="385"/>
      <c r="H92" s="386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0.5" customHeight="1">
      <c r="A93" s="9">
        <v>1</v>
      </c>
      <c r="B93" s="3"/>
      <c r="C93" s="84">
        <v>2</v>
      </c>
      <c r="D93" s="11" t="str">
        <f>IF(C93=0,0,CONCATENATE(VLOOKUP(C93,[14]Регистрация!$B$7:$M$71,3,FALSE)," ",VLOOKUP(C93,[14]Регистрация!$B$7:$M$71,4,FALSE)," ",VLOOKUP(C93,[14]Регистрация!$B$7:$M$71,5,FALSE)))</f>
        <v>Ляшок Кирилл Петрович</v>
      </c>
      <c r="E93" s="69" t="str">
        <f>IF(C93=0,0,VLOOKUP(C93,[14]Регистрация!$B$7:$M$71,11,FALSE))</f>
        <v>Елец</v>
      </c>
      <c r="F93" s="69" t="str">
        <f>IF(C93=0,0,VLOOKUP(C93,[14]Регистрация!$B$7:$M$71,12,FALSE))</f>
        <v>Акопян А.В.</v>
      </c>
      <c r="G93" s="13">
        <f>IF(C93=0,0,VLOOKUP(C93,[14]Регистрация!$B$7:$M$71,6,FALSE))</f>
        <v>37762</v>
      </c>
      <c r="H93" s="12">
        <f>IF(C93=0,0,VLOOKUP(C93,[14]Регистрация!$B$7:$M$71,8,FALSE))</f>
        <v>9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0.5" customHeight="1">
      <c r="A94" s="9">
        <v>2</v>
      </c>
      <c r="B94" s="3"/>
      <c r="C94" s="84">
        <v>1</v>
      </c>
      <c r="D94" s="11" t="str">
        <f>IF(C94=0,0,CONCATENATE(VLOOKUP(C94,[14]Регистрация!$B$7:$M$71,3,FALSE)," ",VLOOKUP(C94,[14]Регистрация!$B$7:$M$71,4,FALSE)," ",VLOOKUP(C94,[14]Регистрация!$B$7:$M$71,5,FALSE)))</f>
        <v>Малахов Данил Павлович</v>
      </c>
      <c r="E94" s="69" t="str">
        <f>IF(C94=0,0,VLOOKUP(C94,[14]Регистрация!$B$7:$M$71,11,FALSE))</f>
        <v>Грязи</v>
      </c>
      <c r="F94" s="69" t="str">
        <f>IF(C94=0,0,VLOOKUP(C94,[14]Регистрация!$B$7:$M$71,12,FALSE))</f>
        <v>Моисеев И.Н.</v>
      </c>
      <c r="G94" s="13">
        <f>IF(C94=0,0,VLOOKUP(C94,[14]Регистрация!$B$7:$M$71,6,FALSE))</f>
        <v>37828</v>
      </c>
      <c r="H94" s="12">
        <v>8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0.5" customHeight="1">
      <c r="A95" s="9">
        <v>3</v>
      </c>
      <c r="B95" s="3"/>
      <c r="C95" s="85">
        <v>3</v>
      </c>
      <c r="D95" s="11" t="str">
        <f>IF(C95=0,0,CONCATENATE(VLOOKUP(C95,[14]Регистрация!$B$7:$M$71,3,FALSE)," ",VLOOKUP(C95,[14]Регистрация!$B$7:$M$71,4,FALSE)," ",VLOOKUP(C95,[14]Регистрация!$B$7:$M$71,5,FALSE)))</f>
        <v>Меркулов Марк Александрович</v>
      </c>
      <c r="E95" s="69" t="str">
        <f>IF(C95=0,0,VLOOKUP(C95,[14]Регистрация!$B$7:$M$71,11,FALSE))</f>
        <v>Елец</v>
      </c>
      <c r="F95" s="69" t="str">
        <f>IF(C95=0,0,VLOOKUP(C95,[14]Регистрация!$B$7:$M$71,12,FALSE))</f>
        <v>Акопян А.В.</v>
      </c>
      <c r="G95" s="13">
        <f>IF(C95=0,0,VLOOKUP(C95,[14]Регистрация!$B$7:$M$71,6,FALSE))</f>
        <v>37383</v>
      </c>
      <c r="H95" s="12">
        <f>IF(C95=0,0,VLOOKUP(C95,[14]Регистрация!$B$7:$M$71,8,FALSE))</f>
        <v>7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0.5" customHeight="1">
      <c r="A96" s="9">
        <v>4</v>
      </c>
      <c r="B96" s="3"/>
      <c r="C96" s="85">
        <v>4</v>
      </c>
      <c r="D96" s="11" t="str">
        <f>IF(C96=0,0,CONCATENATE(VLOOKUP(C96,[14]Регистрация!$B$7:$M$71,3,FALSE)," ",VLOOKUP(C96,[14]Регистрация!$B$7:$M$71,4,FALSE)," ",VLOOKUP(C96,[14]Регистрация!$B$7:$M$71,5,FALSE)))</f>
        <v>Голенко  Максим  Владимирович</v>
      </c>
      <c r="E96" s="69" t="str">
        <f>IF(C96=0,0,VLOOKUP(C96,[14]Регистрация!$B$7:$M$71,11,FALSE))</f>
        <v>Россошь Сакура</v>
      </c>
      <c r="F96" s="69" t="str">
        <f>IF(C96=0,0,VLOOKUP(C96,[14]Регистрация!$B$7:$M$71,12,FALSE))</f>
        <v>Басова А.В.</v>
      </c>
      <c r="G96" s="13">
        <f>IF(C96=0,0,VLOOKUP(C96,[14]Регистрация!$B$7:$M$71,6,FALSE))</f>
        <v>37461</v>
      </c>
      <c r="H96" s="12">
        <v>8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0.5" customHeight="1">
      <c r="A97" s="384" t="s">
        <v>701</v>
      </c>
      <c r="B97" s="385"/>
      <c r="C97" s="385"/>
      <c r="D97" s="385"/>
      <c r="E97" s="385"/>
      <c r="F97" s="385"/>
      <c r="G97" s="385"/>
      <c r="H97" s="38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0.5" customHeight="1">
      <c r="A98" s="9">
        <v>1</v>
      </c>
      <c r="B98" s="3"/>
      <c r="C98" s="84">
        <v>1</v>
      </c>
      <c r="D98" s="11" t="str">
        <f>IF(C98=0,0,CONCATENATE(VLOOKUP(C98,[15]Регистрация!$B$7:$M$71,3,FALSE)," ",VLOOKUP(C98,[15]Регистрация!$B$7:$M$71,4,FALSE)," ",VLOOKUP(C98,[15]Регистрация!$B$7:$M$71,5,FALSE)))</f>
        <v>Мирзоев Руслан Алиагаевич</v>
      </c>
      <c r="E98" s="69" t="str">
        <f>IF(C98=0,0,VLOOKUP(C98,[15]Регистрация!$B$7:$M$71,11,FALSE))</f>
        <v>Москва</v>
      </c>
      <c r="F98" s="69" t="str">
        <f>IF(C98=0,0,VLOOKUP(C98,[15]Регистрация!$B$7:$M$71,12,FALSE))</f>
        <v>Анаян О.Г.</v>
      </c>
      <c r="G98" s="13">
        <f>IF(C98=0,0,VLOOKUP(C98,[15]Регистрация!$B$7:$M$71,6,FALSE))</f>
        <v>37187</v>
      </c>
      <c r="H98" s="12" t="str">
        <f>IF(C98=0,0,VLOOKUP(C98,[15]Регистрация!$B$7:$M$71,8,FALSE))</f>
        <v>3 кю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0.5" customHeight="1">
      <c r="A99" s="9">
        <v>2</v>
      </c>
      <c r="B99" s="3"/>
      <c r="C99" s="84">
        <v>4</v>
      </c>
      <c r="D99" s="11" t="str">
        <f>IF(C99=0,0,CONCATENATE(VLOOKUP(C99,[15]Регистрация!$B$7:$M$71,3,FALSE)," ",VLOOKUP(C99,[15]Регистрация!$B$7:$M$71,4,FALSE)," ",VLOOKUP(C99,[15]Регистрация!$B$7:$M$71,5,FALSE)))</f>
        <v>Максимович Данил Игоревич</v>
      </c>
      <c r="E99" s="69" t="str">
        <f>IF(C99=0,0,VLOOKUP(C99,[15]Регистрация!$B$7:$M$71,11,FALSE))</f>
        <v>Елец</v>
      </c>
      <c r="F99" s="69" t="str">
        <f>IF(C99=0,0,VLOOKUP(C99,[15]Регистрация!$B$7:$M$71,12,FALSE))</f>
        <v>Кобзев М.А.</v>
      </c>
      <c r="G99" s="13">
        <f>IF(C99=0,0,VLOOKUP(C99,[15]Регистрация!$B$7:$M$71,6,FALSE))</f>
        <v>37187</v>
      </c>
      <c r="H99" s="12">
        <f>IF(C99=0,0,VLOOKUP(C99,[15]Регистрация!$B$7:$M$71,8,FALSE))</f>
        <v>6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0.5" customHeight="1">
      <c r="A100" s="9">
        <v>3</v>
      </c>
      <c r="B100" s="3"/>
      <c r="C100" s="85">
        <v>7</v>
      </c>
      <c r="D100" s="11" t="str">
        <f>IF(C100=0,0,CONCATENATE(VLOOKUP(C100,[15]Регистрация!$B$7:$M$71,3,FALSE)," ",VLOOKUP(C100,[15]Регистрация!$B$7:$M$71,4,FALSE)," ",VLOOKUP(C100,[15]Регистрация!$B$7:$M$71,5,FALSE)))</f>
        <v>Горелкин  Илья Алексеевич</v>
      </c>
      <c r="E100" s="69" t="str">
        <f>IF(C100=0,0,VLOOKUP(C100,[15]Регистрация!$B$7:$M$71,11,FALSE))</f>
        <v>Тамбовская обл</v>
      </c>
      <c r="F100" s="69" t="str">
        <f>IF(C100=0,0,VLOOKUP(C100,[15]Регистрация!$B$7:$M$71,12,FALSE))</f>
        <v>Айриян А.И.</v>
      </c>
      <c r="G100" s="13">
        <f>IF(C100=0,0,VLOOKUP(C100,[15]Регистрация!$B$7:$M$71,6,FALSE))</f>
        <v>37334</v>
      </c>
      <c r="H100" s="12">
        <f>IF(C100=0,0,VLOOKUP(C100,[15]Регистрация!$B$7:$M$71,8,FALSE))</f>
        <v>6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0.5" customHeight="1">
      <c r="A101" s="9">
        <v>4</v>
      </c>
      <c r="B101" s="3"/>
      <c r="C101" s="85">
        <v>6</v>
      </c>
      <c r="D101" s="11" t="str">
        <f>IF(C101=0,0,CONCATENATE(VLOOKUP(C101,[15]Регистрация!$B$7:$M$71,3,FALSE)," ",VLOOKUP(C101,[15]Регистрация!$B$7:$M$71,4,FALSE)," ",VLOOKUP(C101,[15]Регистрация!$B$7:$M$71,5,FALSE)))</f>
        <v>Таксопуло Максим Игоревич</v>
      </c>
      <c r="E101" s="69" t="str">
        <f>IF(C101=0,0,VLOOKUP(C101,[15]Регистрация!$B$7:$M$71,11,FALSE))</f>
        <v>Грязи "Катана"</v>
      </c>
      <c r="F101" s="69" t="str">
        <f>IF(C101=0,0,VLOOKUP(C101,[15]Регистрация!$B$7:$M$71,12,FALSE))</f>
        <v>Козлов А.Э.</v>
      </c>
      <c r="G101" s="13">
        <f>IF(C101=0,0,VLOOKUP(C101,[15]Регистрация!$B$7:$M$71,6,FALSE))</f>
        <v>36903</v>
      </c>
      <c r="H101" s="12">
        <f>IF(C101=0,0,VLOOKUP(C101,[15]Регистрация!$B$7:$M$71,8,FALSE))</f>
        <v>9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0.5" customHeight="1">
      <c r="A102" s="384" t="s">
        <v>702</v>
      </c>
      <c r="B102" s="385"/>
      <c r="C102" s="385"/>
      <c r="D102" s="385"/>
      <c r="E102" s="385"/>
      <c r="F102" s="385"/>
      <c r="G102" s="385"/>
      <c r="H102" s="38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0.5" customHeight="1">
      <c r="A103" s="9">
        <v>1</v>
      </c>
      <c r="B103" s="3"/>
      <c r="C103" s="84">
        <v>1</v>
      </c>
      <c r="D103" s="11" t="str">
        <f>IF(C103=0,0,CONCATENATE(VLOOKUP(C103,[16]Регистрация!$B$7:$M$71,3,FALSE)," ",VLOOKUP(C103,[16]Регистрация!$B$7:$M$71,4,FALSE)," ",VLOOKUP(C103,[16]Регистрация!$B$7:$M$71,5,FALSE)))</f>
        <v>Торосян Арман Арамович</v>
      </c>
      <c r="E103" s="69" t="str">
        <f>IF(C103=0,0,VLOOKUP(C103,[16]Регистрация!$B$7:$M$71,11,FALSE))</f>
        <v>Грязи "Катана"</v>
      </c>
      <c r="F103" s="69" t="str">
        <f>IF(C103=0,0,VLOOKUP(C103,[16]Регистрация!$B$7:$M$71,12,FALSE))</f>
        <v>Борисенко А.И.</v>
      </c>
      <c r="G103" s="13">
        <f>IF(C103=0,0,VLOOKUP(C103,[16]Регистрация!$B$7:$M$71,6,FALSE))</f>
        <v>37134</v>
      </c>
      <c r="H103" s="12">
        <f>IF(C103=0,0,VLOOKUP(C103,[16]Регистрация!$B$7:$M$71,8,FALSE))</f>
        <v>10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0.5" customHeight="1">
      <c r="A104" s="9">
        <v>2</v>
      </c>
      <c r="B104" s="3"/>
      <c r="C104" s="84">
        <v>2</v>
      </c>
      <c r="D104" s="11" t="str">
        <f>IF(C104=0,0,CONCATENATE(VLOOKUP(C104,[16]Регистрация!$B$7:$M$71,3,FALSE)," ",VLOOKUP(C104,[16]Регистрация!$B$7:$M$71,4,FALSE)," ",VLOOKUP(C104,[16]Регистрация!$B$7:$M$71,5,FALSE)))</f>
        <v>Кадреметов Дамир Рустамович</v>
      </c>
      <c r="E104" s="69" t="str">
        <f>IF(C104=0,0,VLOOKUP(C104,[16]Регистрация!$B$7:$M$71,11,FALSE))</f>
        <v>Грязи "Катана"</v>
      </c>
      <c r="F104" s="69" t="str">
        <f>IF(C104=0,0,VLOOKUP(C104,[16]Регистрация!$B$7:$M$71,12,FALSE))</f>
        <v>Козлов А.Э.</v>
      </c>
      <c r="G104" s="13">
        <f>IF(C104=0,0,VLOOKUP(C104,[16]Регистрация!$B$7:$M$71,6,FALSE))</f>
        <v>37004</v>
      </c>
      <c r="H104" s="12">
        <f>IF(C104=0,0,VLOOKUP(C104,[16]Регистрация!$B$7:$M$71,8,FALSE))</f>
        <v>8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0.5" customHeight="1">
      <c r="A105" s="9">
        <v>3</v>
      </c>
      <c r="B105" s="3"/>
      <c r="C105" s="85">
        <v>3</v>
      </c>
      <c r="D105" s="11" t="str">
        <f>IF(C105=0,0,CONCATENATE(VLOOKUP(C105,[16]Регистрация!$B$7:$M$71,3,FALSE)," ",VLOOKUP(C105,[16]Регистрация!$B$7:$M$71,4,FALSE)," ",VLOOKUP(C105,[16]Регистрация!$B$7:$M$71,5,FALSE)))</f>
        <v>Блудов Иван Романович</v>
      </c>
      <c r="E105" s="69" t="str">
        <f>IF(C105=0,0,VLOOKUP(C105,[16]Регистрация!$B$7:$M$71,11,FALSE))</f>
        <v>Тамбовская обл</v>
      </c>
      <c r="F105" s="69" t="str">
        <f>IF(C105=0,0,VLOOKUP(C105,[16]Регистрация!$B$7:$M$71,12,FALSE))</f>
        <v>Кузнецова Е.Н.</v>
      </c>
      <c r="G105" s="13">
        <f>IF(C105=0,0,VLOOKUP(C105,[16]Регистрация!$B$7:$M$71,6,FALSE))</f>
        <v>37327</v>
      </c>
      <c r="H105" s="12">
        <f>IF(C105=0,0,VLOOKUP(C105,[16]Регистрация!$B$7:$M$71,8,FALSE))</f>
        <v>10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0.5" customHeight="1">
      <c r="A106" s="9">
        <v>4</v>
      </c>
      <c r="B106" s="3"/>
      <c r="C106" s="85">
        <v>4</v>
      </c>
      <c r="D106" s="11" t="str">
        <f>IF(C106=0,0,CONCATENATE(VLOOKUP(C106,[16]Регистрация!$B$7:$M$71,3,FALSE)," ",VLOOKUP(C106,[16]Регистрация!$B$7:$M$71,4,FALSE)," ",VLOOKUP(C106,[16]Регистрация!$B$7:$M$71,5,FALSE)))</f>
        <v>Криворучка Артем Валерьевич</v>
      </c>
      <c r="E106" s="69" t="str">
        <f>IF(C106=0,0,VLOOKUP(C106,[16]Регистрация!$B$7:$M$71,11,FALSE))</f>
        <v>Тамбовская обл</v>
      </c>
      <c r="F106" s="69" t="str">
        <f>IF(C106=0,0,VLOOKUP(C106,[16]Регистрация!$B$7:$M$71,12,FALSE))</f>
        <v>Антакова Е.В.</v>
      </c>
      <c r="G106" s="13">
        <f>IF(C106=0,0,VLOOKUP(C106,[16]Регистрация!$B$7:$M$71,6,FALSE))</f>
        <v>37130</v>
      </c>
      <c r="H106" s="12">
        <f>IF(C106=0,0,VLOOKUP(C106,[16]Регистрация!$B$7:$M$71,8,FALSE))</f>
        <v>8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0.5" customHeight="1">
      <c r="A107" s="384" t="s">
        <v>703</v>
      </c>
      <c r="B107" s="385"/>
      <c r="C107" s="385"/>
      <c r="D107" s="385"/>
      <c r="E107" s="385"/>
      <c r="F107" s="385"/>
      <c r="G107" s="385"/>
      <c r="H107" s="386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0.5" customHeight="1">
      <c r="A108" s="9">
        <v>1</v>
      </c>
      <c r="B108" s="3"/>
      <c r="C108" s="84">
        <v>4</v>
      </c>
      <c r="D108" s="11" t="str">
        <f>IF(C108=0,0,CONCATENATE(VLOOKUP(C108,[17]Регистрация!$B$7:$M$71,3,FALSE)," ",VLOOKUP(C108,[17]Регистрация!$B$7:$M$71,4,FALSE)," ",VLOOKUP(C108,[17]Регистрация!$B$7:$M$71,5,FALSE)))</f>
        <v>Казьмин Владимир Евгеньевич</v>
      </c>
      <c r="E108" s="69" t="str">
        <f>IF(C108=0,0,VLOOKUP(C108,[17]Регистрация!$B$7:$M$71,11,FALSE))</f>
        <v>Елец</v>
      </c>
      <c r="F108" s="69" t="str">
        <f>IF(C108=0,0,VLOOKUP(C108,[17]Регистрация!$B$7:$M$71,12,FALSE))</f>
        <v>Сальков П.С.</v>
      </c>
      <c r="G108" s="13">
        <f>IF(C108=0,0,VLOOKUP(C108,[17]Регистрация!$B$7:$M$71,6,FALSE))</f>
        <v>36713</v>
      </c>
      <c r="H108" s="12">
        <f>IF(C108=0,0,VLOOKUP(C108,[17]Регистрация!$B$7:$M$71,8,FALSE))</f>
        <v>3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0.5" customHeight="1">
      <c r="A109" s="9" t="s">
        <v>30</v>
      </c>
      <c r="B109" s="3"/>
      <c r="C109" s="84">
        <v>5</v>
      </c>
      <c r="D109" s="11" t="str">
        <f>IF(C109=0,0,CONCATENATE(VLOOKUP(C109,[17]Регистрация!$B$7:$M$71,3,FALSE)," ",VLOOKUP(C109,[17]Регистрация!$B$7:$M$71,4,FALSE)," ",VLOOKUP(C109,[17]Регистрация!$B$7:$M$71,5,FALSE)))</f>
        <v>Гриценко  Константин  Александрович</v>
      </c>
      <c r="E109" s="69" t="str">
        <f>IF(C109=0,0,VLOOKUP(C109,[17]Регистрация!$B$7:$M$71,11,FALSE))</f>
        <v>Россошь Сакура</v>
      </c>
      <c r="F109" s="69" t="str">
        <f>IF(C109=0,0,VLOOKUP(C109,[17]Регистрация!$B$7:$M$71,12,FALSE))</f>
        <v>Кульбакин А.С</v>
      </c>
      <c r="G109" s="13">
        <f>IF(C109=0,0,VLOOKUP(C109,[17]Регистрация!$B$7:$M$71,6,FALSE))</f>
        <v>37092</v>
      </c>
      <c r="H109" s="12">
        <f>IF(C109=0,0,VLOOKUP(C109,[17]Регистрация!$B$7:$M$71,8,FALSE))</f>
        <v>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0.5" customHeight="1">
      <c r="A110" s="9">
        <v>3</v>
      </c>
      <c r="B110" s="3"/>
      <c r="C110" s="85">
        <v>3</v>
      </c>
      <c r="D110" s="11" t="str">
        <f>IF(C110=0,0,CONCATENATE(VLOOKUP(C110,[17]Регистрация!$B$7:$M$71,3,FALSE)," ",VLOOKUP(C110,[17]Регистрация!$B$7:$M$71,4,FALSE)," ",VLOOKUP(C110,[17]Регистрация!$B$7:$M$71,5,FALSE)))</f>
        <v>Долгих  Анатолий Андреевич</v>
      </c>
      <c r="E110" s="69" t="str">
        <f>IF(C110=0,0,VLOOKUP(C110,[17]Регистрация!$B$7:$M$71,11,FALSE))</f>
        <v>Задонск</v>
      </c>
      <c r="F110" s="69" t="str">
        <f>IF(C110=0,0,VLOOKUP(C110,[17]Регистрация!$B$7:$M$71,12,FALSE))</f>
        <v>Лобеев А.А.</v>
      </c>
      <c r="G110" s="13">
        <f>IF(C110=0,0,VLOOKUP(C110,[17]Регистрация!$B$7:$M$71,6,FALSE))</f>
        <v>36702</v>
      </c>
      <c r="H110" s="12">
        <f>IF(C110=0,0,VLOOKUP(C110,[17]Регистрация!$B$7:$M$71,8,FALSE))</f>
        <v>7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0.5" customHeight="1">
      <c r="A111" s="9">
        <v>4</v>
      </c>
      <c r="B111" s="3"/>
      <c r="C111" s="85">
        <v>2</v>
      </c>
      <c r="D111" s="11" t="str">
        <f>IF(C111=0,0,CONCATENATE(VLOOKUP(C111,[17]Регистрация!$B$7:$M$71,3,FALSE)," ",VLOOKUP(C111,[17]Регистрация!$B$7:$M$71,4,FALSE)," ",VLOOKUP(C111,[17]Регистрация!$B$7:$M$71,5,FALSE)))</f>
        <v>Минаков  Артем Сергеевич</v>
      </c>
      <c r="E111" s="69" t="str">
        <f>IF(C111=0,0,VLOOKUP(C111,[17]Регистрация!$B$7:$M$71,11,FALSE))</f>
        <v>Грязи</v>
      </c>
      <c r="F111" s="69" t="str">
        <f>IF(C111=0,0,VLOOKUP(C111,[17]Регистрация!$B$7:$M$71,12,FALSE))</f>
        <v>Моисеев И.Н.</v>
      </c>
      <c r="G111" s="13">
        <f>IF(C111=0,0,VLOOKUP(C111,[17]Регистрация!$B$7:$M$71,6,FALSE))</f>
        <v>36917</v>
      </c>
      <c r="H111" s="12">
        <f>IF(C111=0,0,VLOOKUP(C111,[17]Регистрация!$B$7:$M$71,8,FALSE))</f>
        <v>9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0.5" customHeight="1">
      <c r="A112" s="384" t="s">
        <v>704</v>
      </c>
      <c r="B112" s="385"/>
      <c r="C112" s="385"/>
      <c r="D112" s="385"/>
      <c r="E112" s="385"/>
      <c r="F112" s="385"/>
      <c r="G112" s="385"/>
      <c r="H112" s="386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0.5" customHeight="1">
      <c r="A113" s="9">
        <v>1</v>
      </c>
      <c r="B113" s="3"/>
      <c r="C113" s="84">
        <v>2</v>
      </c>
      <c r="D113" s="11" t="str">
        <f>IF(C113=0,0,CONCATENATE(VLOOKUP(C113,[18]Регистрация!$B$7:$M$71,3,FALSE)," ",VLOOKUP(C113,[18]Регистрация!$B$7:$M$71,4,FALSE)," ",VLOOKUP(C113,[18]Регистрация!$B$7:$M$71,5,FALSE)))</f>
        <v>Батищев Кирилл Русланович</v>
      </c>
      <c r="E113" s="69" t="str">
        <f>IF(C113=0,0,VLOOKUP(C113,[18]Регистрация!$B$7:$M$71,11,FALSE))</f>
        <v>Грязи</v>
      </c>
      <c r="F113" s="69" t="str">
        <f>IF(C113=0,0,VLOOKUP(C113,[18]Регистрация!$B$7:$M$71,12,FALSE))</f>
        <v>Моисеев И.Н.</v>
      </c>
      <c r="G113" s="13">
        <f>IF(C113=0,0,VLOOKUP(C113,[18]Регистрация!$B$7:$M$71,6,FALSE))</f>
        <v>36698</v>
      </c>
      <c r="H113" s="12">
        <f>IF(C113=0,0,VLOOKUP(C113,[18]Регистрация!$B$7:$M$71,8,FALSE))</f>
        <v>7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0.5" customHeight="1">
      <c r="A114" s="9">
        <v>2</v>
      </c>
      <c r="B114" s="3"/>
      <c r="C114" s="84">
        <v>7</v>
      </c>
      <c r="D114" s="11" t="str">
        <f>IF(C114=0,0,CONCATENATE(VLOOKUP(C114,[18]Регистрация!$B$7:$M$71,3,FALSE)," ",VLOOKUP(C114,[18]Регистрация!$B$7:$M$71,4,FALSE)," ",VLOOKUP(C114,[18]Регистрация!$B$7:$M$71,5,FALSE)))</f>
        <v>Сытинский  Михаил Владимирович</v>
      </c>
      <c r="E114" s="69" t="str">
        <f>IF(C114=0,0,VLOOKUP(C114,[18]Регистрация!$B$7:$M$71,11,FALSE))</f>
        <v>Тамбовская обл</v>
      </c>
      <c r="F114" s="69" t="str">
        <f>IF(C114=0,0,VLOOKUP(C114,[18]Регистрация!$B$7:$M$71,12,FALSE))</f>
        <v>Антакова Е.В.</v>
      </c>
      <c r="G114" s="13">
        <f>IF(C114=0,0,VLOOKUP(C114,[18]Регистрация!$B$7:$M$71,6,FALSE))</f>
        <v>37173</v>
      </c>
      <c r="H114" s="12">
        <f>IF(C114=0,0,VLOOKUP(C114,[18]Регистрация!$B$7:$M$71,8,FALSE))</f>
        <v>5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0.5" customHeight="1">
      <c r="A115" s="9">
        <v>3</v>
      </c>
      <c r="B115" s="3"/>
      <c r="C115" s="85">
        <v>4</v>
      </c>
      <c r="D115" s="11" t="str">
        <f>IF(C115=0,0,CONCATENATE(VLOOKUP(C115,[18]Регистрация!$B$7:$M$71,3,FALSE)," ",VLOOKUP(C115,[18]Регистрация!$B$7:$M$71,4,FALSE)," ",VLOOKUP(C115,[18]Регистрация!$B$7:$M$71,5,FALSE)))</f>
        <v>Гордеев Иван Алексеевич</v>
      </c>
      <c r="E115" s="69" t="str">
        <f>IF(C115=0,0,VLOOKUP(C115,[18]Регистрация!$B$7:$M$71,11,FALSE))</f>
        <v>Елец</v>
      </c>
      <c r="F115" s="69" t="str">
        <f>IF(C115=0,0,VLOOKUP(C115,[18]Регистрация!$B$7:$M$71,12,FALSE))</f>
        <v>Бейк Е.В.</v>
      </c>
      <c r="G115" s="13">
        <f>IF(C115=0,0,VLOOKUP(C115,[18]Регистрация!$B$7:$M$71,6,FALSE))</f>
        <v>36709</v>
      </c>
      <c r="H115" s="12">
        <f>IF(C115=0,0,VLOOKUP(C115,[18]Регистрация!$B$7:$M$71,8,FALSE))</f>
        <v>5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0.5" customHeight="1">
      <c r="A116" s="9">
        <v>4</v>
      </c>
      <c r="B116" s="3"/>
      <c r="C116" s="85">
        <v>1</v>
      </c>
      <c r="D116" s="11" t="str">
        <f>IF(C116=0,0,CONCATENATE(VLOOKUP(C116,[18]Регистрация!$B$7:$M$71,3,FALSE)," ",VLOOKUP(C116,[18]Регистрация!$B$7:$M$71,4,FALSE)," ",VLOOKUP(C116,[18]Регистрация!$B$7:$M$71,5,FALSE)))</f>
        <v>Бурлаков Дмитрий Владимирович</v>
      </c>
      <c r="E116" s="69" t="str">
        <f>IF(C116=0,0,VLOOKUP(C116,[18]Регистрация!$B$7:$M$71,11,FALSE))</f>
        <v>Грязи</v>
      </c>
      <c r="F116" s="69" t="str">
        <f>IF(C116=0,0,VLOOKUP(C116,[18]Регистрация!$B$7:$M$71,12,FALSE))</f>
        <v>Моисеев И.Н.</v>
      </c>
      <c r="G116" s="13">
        <f>IF(C116=0,0,VLOOKUP(C116,[18]Регистрация!$B$7:$M$71,6,FALSE))</f>
        <v>37248</v>
      </c>
      <c r="H116" s="12">
        <f>IF(C116=0,0,VLOOKUP(C116,[18]Регистрация!$B$7:$M$71,8,FALSE))</f>
        <v>8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0.5" customHeight="1">
      <c r="A117" s="384" t="s">
        <v>705</v>
      </c>
      <c r="B117" s="385"/>
      <c r="C117" s="385"/>
      <c r="D117" s="385"/>
      <c r="E117" s="385"/>
      <c r="F117" s="385"/>
      <c r="G117" s="385"/>
      <c r="H117" s="386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0.5" customHeight="1">
      <c r="A118" s="9">
        <v>1</v>
      </c>
      <c r="B118" s="3"/>
      <c r="C118" s="84">
        <v>3</v>
      </c>
      <c r="D118" s="11" t="str">
        <f>IF(C118=0,0,CONCATENATE(VLOOKUP(C118,[19]Регистрация!$B$7:$M$71,3,FALSE)," ",VLOOKUP(C118,[19]Регистрация!$B$7:$M$71,4,FALSE)," ",VLOOKUP(C118,[19]Регистрация!$B$7:$M$71,5,FALSE)))</f>
        <v>Краснобородько  Иван Дмитриевич</v>
      </c>
      <c r="E118" s="69" t="str">
        <f>IF(C118=0,0,VLOOKUP(C118,[19]Регистрация!$B$7:$M$71,11,FALSE))</f>
        <v>Липецк IKO</v>
      </c>
      <c r="F118" s="69" t="str">
        <f>IF(C118=0,0,VLOOKUP(C118,[19]Регистрация!$B$7:$M$71,12,FALSE))</f>
        <v>Бедоян В.Г</v>
      </c>
      <c r="G118" s="13">
        <f>IF(C118=0,0,VLOOKUP(C118,[19]Регистрация!$B$7:$M$71,6,FALSE))</f>
        <v>36867</v>
      </c>
      <c r="H118" s="12">
        <f>IF(C118=0,0,VLOOKUP(C118,[19]Регистрация!$B$7:$M$71,8,FALSE))</f>
        <v>4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0.5" customHeight="1">
      <c r="A119" s="9">
        <v>2</v>
      </c>
      <c r="B119" s="3"/>
      <c r="C119" s="84">
        <v>6</v>
      </c>
      <c r="D119" s="11" t="str">
        <f>IF(C119=0,0,CONCATENATE(VLOOKUP(C119,[19]Регистрация!$B$7:$M$71,3,FALSE)," ",VLOOKUP(C119,[19]Регистрация!$B$7:$M$71,4,FALSE)," ",VLOOKUP(C119,[19]Регистрация!$B$7:$M$71,5,FALSE)))</f>
        <v>Медведев Вячеслав  Сергеевич</v>
      </c>
      <c r="E119" s="69" t="str">
        <f>IF(C119=0,0,VLOOKUP(C119,[19]Регистрация!$B$7:$M$71,11,FALSE))</f>
        <v>Тамбовская обл</v>
      </c>
      <c r="F119" s="69" t="str">
        <f>IF(C119=0,0,VLOOKUP(C119,[19]Регистрация!$B$7:$M$71,12,FALSE))</f>
        <v>Семишова Н.Н.</v>
      </c>
      <c r="G119" s="13">
        <f>IF(C119=0,0,VLOOKUP(C119,[19]Регистрация!$B$7:$M$71,6,FALSE))</f>
        <v>36878</v>
      </c>
      <c r="H119" s="12">
        <f>IF(C119=0,0,VLOOKUP(C119,[19]Регистрация!$B$7:$M$71,8,FALSE))</f>
        <v>9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0.5" customHeight="1">
      <c r="A120" s="9">
        <v>3</v>
      </c>
      <c r="B120" s="3"/>
      <c r="C120" s="85">
        <v>5</v>
      </c>
      <c r="D120" s="11" t="str">
        <f>IF(C120=0,0,CONCATENATE(VLOOKUP(C120,[19]Регистрация!$B$7:$M$71,3,FALSE)," ",VLOOKUP(C120,[19]Регистрация!$B$7:$M$71,4,FALSE)," ",VLOOKUP(C120,[19]Регистрация!$B$7:$M$71,5,FALSE)))</f>
        <v>Рязанцев Алексей Алексеевич</v>
      </c>
      <c r="E120" s="69" t="str">
        <f>IF(C120=0,0,VLOOKUP(C120,[19]Регистрация!$B$7:$M$71,11,FALSE))</f>
        <v>Липецк KAN</v>
      </c>
      <c r="F120" s="69" t="str">
        <f>IF(C120=0,0,VLOOKUP(C120,[19]Регистрация!$B$7:$M$71,12,FALSE))</f>
        <v>Цуканов А.С.</v>
      </c>
      <c r="G120" s="13">
        <f>IF(C120=0,0,VLOOKUP(C120,[19]Регистрация!$B$7:$M$71,6,FALSE))</f>
        <v>37315</v>
      </c>
      <c r="H120" s="12">
        <f>IF(C120=0,0,VLOOKUP(C120,[19]Регистрация!$B$7:$M$71,8,FALSE))</f>
        <v>6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0.5" customHeight="1">
      <c r="A121" s="9">
        <v>4</v>
      </c>
      <c r="B121" s="3"/>
      <c r="C121" s="85">
        <v>4</v>
      </c>
      <c r="D121" s="11" t="str">
        <f>IF(C121=0,0,CONCATENATE(VLOOKUP(C121,[19]Регистрация!$B$7:$M$71,3,FALSE)," ",VLOOKUP(C121,[19]Регистрация!$B$7:$M$71,4,FALSE)," ",VLOOKUP(C121,[19]Регистрация!$B$7:$M$71,5,FALSE)))</f>
        <v>Митяев Арсений Сергеевич </v>
      </c>
      <c r="E121" s="69" t="str">
        <f>IF(C121=0,0,VLOOKUP(C121,[19]Регистрация!$B$7:$M$71,11,FALSE))</f>
        <v>Елец</v>
      </c>
      <c r="F121" s="69" t="str">
        <f>IF(C121=0,0,VLOOKUP(C121,[19]Регистрация!$B$7:$M$71,12,FALSE))</f>
        <v>Бейк Е.В.</v>
      </c>
      <c r="G121" s="13">
        <f>IF(C121=0,0,VLOOKUP(C121,[19]Регистрация!$B$7:$M$71,6,FALSE))</f>
        <v>36749</v>
      </c>
      <c r="H121" s="12">
        <f>IF(C121=0,0,VLOOKUP(C121,[19]Регистрация!$B$7:$M$71,8,FALSE))</f>
        <v>5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0.5" customHeight="1">
      <c r="A122" s="384" t="s">
        <v>706</v>
      </c>
      <c r="B122" s="385"/>
      <c r="C122" s="385"/>
      <c r="D122" s="385"/>
      <c r="E122" s="385"/>
      <c r="F122" s="385"/>
      <c r="G122" s="385"/>
      <c r="H122" s="38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0.5" customHeight="1">
      <c r="A123" s="9">
        <v>1</v>
      </c>
      <c r="B123" s="3"/>
      <c r="C123" s="84">
        <v>2</v>
      </c>
      <c r="D123" s="11" t="str">
        <f>IF(C123=0,0,CONCATENATE(VLOOKUP(C123,[20]Регистрация!$B$7:$M$71,3,FALSE)," ",VLOOKUP(C123,[20]Регистрация!$B$7:$M$71,4,FALSE)," ",VLOOKUP(C123,[20]Регистрация!$B$7:$M$71,5,FALSE)))</f>
        <v>Хофизов Мухаммадазим Хофизович</v>
      </c>
      <c r="E123" s="69" t="str">
        <f>IF(C123=0,0,VLOOKUP(C123,[20]Регистрация!$B$7:$M$71,11,FALSE))</f>
        <v>Грязи "Катана"</v>
      </c>
      <c r="F123" s="69" t="str">
        <f>IF(C123=0,0,VLOOKUP(C123,[20]Регистрация!$B$7:$M$71,12,FALSE))</f>
        <v>Борисенко А.И.</v>
      </c>
      <c r="G123" s="13">
        <f>IF(C123=0,0,VLOOKUP(C123,[20]Регистрация!$B$7:$M$71,6,FALSE))</f>
        <v>36513</v>
      </c>
      <c r="H123" s="12">
        <f>IF(C123=0,0,VLOOKUP(C123,[20]Регистрация!$B$7:$M$71,8,FALSE))</f>
        <v>8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0.5" customHeight="1">
      <c r="A124" s="9">
        <v>2</v>
      </c>
      <c r="B124" s="3"/>
      <c r="C124" s="84">
        <v>3</v>
      </c>
      <c r="D124" s="11" t="str">
        <f>IF(C124=0,0,CONCATENATE(VLOOKUP(C124,[20]Регистрация!$B$7:$M$71,3,FALSE)," ",VLOOKUP(C124,[20]Регистрация!$B$7:$M$71,4,FALSE)," ",VLOOKUP(C124,[20]Регистрация!$B$7:$M$71,5,FALSE)))</f>
        <v>Тихомиров Даниил Андреевич</v>
      </c>
      <c r="E124" s="69" t="str">
        <f>IF(C124=0,0,VLOOKUP(C124,[20]Регистрация!$B$7:$M$71,11,FALSE))</f>
        <v>Елец</v>
      </c>
      <c r="F124" s="69" t="str">
        <f>IF(C124=0,0,VLOOKUP(C124,[20]Регистрация!$B$7:$M$71,12,FALSE))</f>
        <v>Сальков П.С.</v>
      </c>
      <c r="G124" s="13">
        <f>IF(C124=0,0,VLOOKUP(C124,[20]Регистрация!$B$7:$M$71,6,FALSE))</f>
        <v>36102</v>
      </c>
      <c r="H124" s="12">
        <f>IF(C124=0,0,VLOOKUP(C124,[20]Регистрация!$B$7:$M$71,8,FALSE))</f>
        <v>2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0.5" customHeight="1">
      <c r="A125" s="9">
        <v>3</v>
      </c>
      <c r="B125" s="3"/>
      <c r="C125" s="85">
        <v>1</v>
      </c>
      <c r="D125" s="11" t="str">
        <f>IF(C125=0,0,CONCATENATE(VLOOKUP(C125,[20]Регистрация!$B$7:$M$71,3,FALSE)," ",VLOOKUP(C125,[20]Регистрация!$B$7:$M$71,4,FALSE)," ",VLOOKUP(C125,[20]Регистрация!$B$7:$M$71,5,FALSE)))</f>
        <v>Брильков Владислав Николаевич</v>
      </c>
      <c r="E125" s="69" t="str">
        <f>IF(C125=0,0,VLOOKUP(C125,[20]Регистрация!$B$7:$M$71,11,FALSE))</f>
        <v>Грязи</v>
      </c>
      <c r="F125" s="69" t="str">
        <f>IF(C125=0,0,VLOOKUP(C125,[20]Регистрация!$B$7:$M$71,12,FALSE))</f>
        <v>Попов И.В.</v>
      </c>
      <c r="G125" s="13">
        <f>IF(C125=0,0,VLOOKUP(C125,[20]Регистрация!$B$7:$M$71,6,FALSE))</f>
        <v>36244</v>
      </c>
      <c r="H125" s="12">
        <f>IF(C125=0,0,VLOOKUP(C125,[20]Регистрация!$B$7:$M$71,8,FALSE))</f>
        <v>4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0.5" customHeight="1">
      <c r="A126" s="9">
        <v>4</v>
      </c>
      <c r="B126" s="3"/>
      <c r="C126" s="85">
        <v>4</v>
      </c>
      <c r="D126" s="11" t="str">
        <f>IF(C126=0,0,CONCATENATE(VLOOKUP(C126,[20]Регистрация!$B$7:$M$71,3,FALSE)," ",VLOOKUP(C126,[20]Регистрация!$B$7:$M$71,4,FALSE)," ",VLOOKUP(C126,[20]Регистрация!$B$7:$M$71,5,FALSE)))</f>
        <v>Прокофьев Данил Валерьевич</v>
      </c>
      <c r="E126" s="69" t="str">
        <f>IF(C126=0,0,VLOOKUP(C126,[20]Регистрация!$B$7:$M$71,11,FALSE))</f>
        <v>Елец</v>
      </c>
      <c r="F126" s="69" t="str">
        <f>IF(C126=0,0,VLOOKUP(C126,[20]Регистрация!$B$7:$M$71,12,FALSE))</f>
        <v>Бейк Е.В.</v>
      </c>
      <c r="G126" s="13">
        <f>IF(C126=0,0,VLOOKUP(C126,[20]Регистрация!$B$7:$M$71,6,FALSE))</f>
        <v>36261</v>
      </c>
      <c r="H126" s="12">
        <f>IF(C126=0,0,VLOOKUP(C126,[20]Регистрация!$B$7:$M$71,8,FALSE))</f>
        <v>5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0.5" customHeight="1">
      <c r="A127" s="384" t="s">
        <v>707</v>
      </c>
      <c r="B127" s="385"/>
      <c r="C127" s="385"/>
      <c r="D127" s="385"/>
      <c r="E127" s="385"/>
      <c r="F127" s="385"/>
      <c r="G127" s="385"/>
      <c r="H127" s="38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0.5" customHeight="1">
      <c r="A128" s="9">
        <v>1</v>
      </c>
      <c r="B128" s="3"/>
      <c r="C128" s="84">
        <v>1</v>
      </c>
      <c r="D128" s="11" t="str">
        <f>IF(C128=0,0,CONCATENATE(VLOOKUP(C128,[21]Регистрация!$B$7:$M$71,3,FALSE)," ",VLOOKUP(C128,[21]Регистрация!$B$7:$M$71,4,FALSE)," ",VLOOKUP(C128,[21]Регистрация!$B$7:$M$71,5,FALSE)))</f>
        <v>Цветков Владислав Владимирович</v>
      </c>
      <c r="E128" s="69" t="str">
        <f>IF(C128=0,0,VLOOKUP(C128,[21]Регистрация!$B$7:$M$71,11,FALSE))</f>
        <v>Липецк KAN</v>
      </c>
      <c r="F128" s="69" t="str">
        <f>IF(C128=0,0,VLOOKUP(C128,[21]Регистрация!$B$7:$M$71,12,FALSE))</f>
        <v>Чернухина Д.Д.</v>
      </c>
      <c r="G128" s="13">
        <f>IF(C128=0,0,VLOOKUP(C128,[21]Регистрация!$B$7:$M$71,6,FALSE))</f>
        <v>36343</v>
      </c>
      <c r="H128" s="12">
        <f>IF(C128=0,0,VLOOKUP(C128,[21]Регистрация!$B$7:$M$71,8,FALSE))</f>
        <v>2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0.5" customHeight="1">
      <c r="A129" s="9">
        <v>2</v>
      </c>
      <c r="B129" s="3"/>
      <c r="C129" s="84">
        <v>6</v>
      </c>
      <c r="D129" s="11" t="str">
        <f>IF(C129=0,0,CONCATENATE(VLOOKUP(C129,[21]Регистрация!$B$7:$M$71,3,FALSE)," ",VLOOKUP(C129,[21]Регистрация!$B$7:$M$71,4,FALSE)," ",VLOOKUP(C129,[21]Регистрация!$B$7:$M$71,5,FALSE)))</f>
        <v>Сарычев Кирилл Евгеньевич</v>
      </c>
      <c r="E129" s="69" t="str">
        <f>IF(C129=0,0,VLOOKUP(C129,[21]Регистрация!$B$7:$M$71,11,FALSE))</f>
        <v>Елец</v>
      </c>
      <c r="F129" s="69" t="str">
        <f>IF(C129=0,0,VLOOKUP(C129,[21]Регистрация!$B$7:$M$71,12,FALSE))</f>
        <v>Сальков П.С.</v>
      </c>
      <c r="G129" s="13">
        <f>IF(C129=0,0,VLOOKUP(C129,[21]Регистрация!$B$7:$M$71,6,FALSE))</f>
        <v>36400</v>
      </c>
      <c r="H129" s="12">
        <f>IF(C129=0,0,VLOOKUP(C129,[21]Регистрация!$B$7:$M$71,8,FALSE))</f>
        <v>8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0.5" customHeight="1">
      <c r="A130" s="9">
        <v>3</v>
      </c>
      <c r="B130" s="3"/>
      <c r="C130" s="85">
        <v>7</v>
      </c>
      <c r="D130" s="11" t="str">
        <f>IF(C130=0,0,CONCATENATE(VLOOKUP(C130,[21]Регистрация!$B$7:$M$71,3,FALSE)," ",VLOOKUP(C130,[21]Регистрация!$B$7:$M$71,4,FALSE)," ",VLOOKUP(C130,[21]Регистрация!$B$7:$M$71,5,FALSE)))</f>
        <v>Чемоданов Кирилл Андреевич</v>
      </c>
      <c r="E130" s="69" t="str">
        <f>IF(C130=0,0,VLOOKUP(C130,[21]Регистрация!$B$7:$M$71,11,FALSE))</f>
        <v>Задонск</v>
      </c>
      <c r="F130" s="69" t="str">
        <f>IF(C130=0,0,VLOOKUP(C130,[21]Регистрация!$B$7:$M$71,12,FALSE))</f>
        <v>Лобеев А.А.</v>
      </c>
      <c r="G130" s="13">
        <f>IF(C130=0,0,VLOOKUP(C130,[21]Регистрация!$B$7:$M$71,6,FALSE))</f>
        <v>36557</v>
      </c>
      <c r="H130" s="12">
        <f>IF(C130=0,0,VLOOKUP(C130,[21]Регистрация!$B$7:$M$71,8,FALSE))</f>
        <v>5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0.5" customHeight="1">
      <c r="A131" s="9">
        <v>4</v>
      </c>
      <c r="B131" s="3"/>
      <c r="C131" s="85">
        <v>8</v>
      </c>
      <c r="D131" s="11" t="str">
        <f>IF(C131=0,0,CONCATENATE(VLOOKUP(C131,[21]Регистрация!$B$7:$M$71,3,FALSE)," ",VLOOKUP(C131,[21]Регистрация!$B$7:$M$71,4,FALSE)," ",VLOOKUP(C131,[21]Регистрация!$B$7:$M$71,5,FALSE)))</f>
        <v xml:space="preserve">Солопов Данил </v>
      </c>
      <c r="E131" s="69" t="str">
        <f>IF(C131=0,0,VLOOKUP(C131,[21]Регистрация!$B$7:$M$71,11,FALSE))</f>
        <v>Тамбовская обл</v>
      </c>
      <c r="F131" s="69" t="str">
        <f>IF(C131=0,0,VLOOKUP(C131,[21]Регистрация!$B$7:$M$71,12,FALSE))</f>
        <v>КормушкинЕ.Г.</v>
      </c>
      <c r="G131" s="13">
        <f>IF(C131=0,0,VLOOKUP(C131,[21]Регистрация!$B$7:$M$71,6,FALSE))</f>
        <v>36576</v>
      </c>
      <c r="H131" s="12">
        <f>IF(C131=0,0,VLOOKUP(C131,[21]Регистрация!$B$7:$M$71,8,FALSE))</f>
        <v>8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0.5" customHeight="1">
      <c r="A132" s="384" t="s">
        <v>708</v>
      </c>
      <c r="B132" s="385"/>
      <c r="C132" s="385"/>
      <c r="D132" s="385"/>
      <c r="E132" s="385"/>
      <c r="F132" s="385"/>
      <c r="G132" s="385"/>
      <c r="H132" s="38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0.5" customHeight="1">
      <c r="A133" s="9">
        <v>1</v>
      </c>
      <c r="B133" s="3"/>
      <c r="C133" s="84">
        <v>4</v>
      </c>
      <c r="D133" s="11" t="str">
        <f>IF(C133=0,0,CONCATENATE(VLOOKUP(C133,[22]Регистрация!$B$7:$M$71,3,FALSE)," ",VLOOKUP(C133,[22]Регистрация!$B$7:$M$71,4,FALSE)," ",VLOOKUP(C133,[22]Регистрация!$B$7:$M$71,5,FALSE)))</f>
        <v>Меркулов Максим Юрьевич</v>
      </c>
      <c r="E133" s="69" t="str">
        <f>IF(C133=0,0,VLOOKUP(C133,[22]Регистрация!$B$7:$M$71,11,FALSE))</f>
        <v>Елец</v>
      </c>
      <c r="F133" s="69" t="str">
        <f>IF(C133=0,0,VLOOKUP(C133,[22]Регистрация!$B$7:$M$71,12,FALSE))</f>
        <v>Сальков П.С.</v>
      </c>
      <c r="G133" s="13">
        <f>IF(C133=0,0,VLOOKUP(C133,[22]Регистрация!$B$7:$M$71,6,FALSE))</f>
        <v>33735</v>
      </c>
      <c r="H133" s="12">
        <f>IF(C133=0,0,VLOOKUP(C133,[22]Регистрация!$B$7:$M$71,8,FALSE))</f>
        <v>1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0.5" customHeight="1">
      <c r="A134" s="9">
        <v>2</v>
      </c>
      <c r="B134" s="3"/>
      <c r="C134" s="84">
        <v>3</v>
      </c>
      <c r="D134" s="11" t="str">
        <f>IF(C134=0,0,CONCATENATE(VLOOKUP(C134,[22]Регистрация!$B$7:$M$71,3,FALSE)," ",VLOOKUP(C134,[22]Регистрация!$B$7:$M$71,4,FALSE)," ",VLOOKUP(C134,[22]Регистрация!$B$7:$M$71,5,FALSE)))</f>
        <v>Телепин Александр Олегович</v>
      </c>
      <c r="E134" s="69" t="str">
        <f>IF(C134=0,0,VLOOKUP(C134,[22]Регистрация!$B$7:$M$71,11,FALSE))</f>
        <v>Тамбовская обл</v>
      </c>
      <c r="F134" s="69" t="str">
        <f>IF(C134=0,0,VLOOKUP(C134,[22]Регистрация!$B$7:$M$71,12,FALSE))</f>
        <v>Кузнецова Е.Н.</v>
      </c>
      <c r="G134" s="13">
        <f>IF(C134=0,0,VLOOKUP(C134,[22]Регистрация!$B$7:$M$71,6,FALSE))</f>
        <v>34994</v>
      </c>
      <c r="H134" s="12">
        <f>IF(C134=0,0,VLOOKUP(C134,[22]Регистрация!$B$7:$M$71,8,FALSE))</f>
        <v>1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0.5" customHeight="1">
      <c r="A135" s="9">
        <v>3</v>
      </c>
      <c r="B135" s="3"/>
      <c r="C135" s="85">
        <v>2</v>
      </c>
      <c r="D135" s="11" t="str">
        <f>IF(C135=0,0,CONCATENATE(VLOOKUP(C135,[22]Регистрация!$B$7:$M$71,3,FALSE)," ",VLOOKUP(C135,[22]Регистрация!$B$7:$M$71,4,FALSE)," ",VLOOKUP(C135,[22]Регистрация!$B$7:$M$71,5,FALSE)))</f>
        <v>Фатеев Константин Алексеевич</v>
      </c>
      <c r="E135" s="69" t="str">
        <f>IF(C135=0,0,VLOOKUP(C135,[22]Регистрация!$B$7:$M$71,11,FALSE))</f>
        <v>Тамбовская обл</v>
      </c>
      <c r="F135" s="69" t="str">
        <f>IF(C135=0,0,VLOOKUP(C135,[22]Регистрация!$B$7:$M$71,12,FALSE))</f>
        <v>Кузнецова Е.Н.</v>
      </c>
      <c r="G135" s="13">
        <f>IF(C135=0,0,VLOOKUP(C135,[22]Регистрация!$B$7:$M$71,6,FALSE))</f>
        <v>35852</v>
      </c>
      <c r="H135" s="12">
        <f>IF(C135=0,0,VLOOKUP(C135,[22]Регистрация!$B$7:$M$71,8,FALSE))</f>
        <v>6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0.5" customHeight="1">
      <c r="A136" s="9">
        <v>4</v>
      </c>
      <c r="B136" s="3"/>
      <c r="C136" s="85">
        <v>1</v>
      </c>
      <c r="D136" s="11" t="str">
        <f>IF(C136=0,0,CONCATENATE(VLOOKUP(C136,[22]Регистрация!$B$7:$M$71,3,FALSE)," ",VLOOKUP(C136,[22]Регистрация!$B$7:$M$71,4,FALSE)," ",VLOOKUP(C136,[22]Регистрация!$B$7:$M$71,5,FALSE)))</f>
        <v>Пузиков Александр. Алексеевич</v>
      </c>
      <c r="E136" s="69" t="str">
        <f>IF(C136=0,0,VLOOKUP(C136,[22]Регистрация!$B$7:$M$71,11,FALSE))</f>
        <v>Липецк IKO</v>
      </c>
      <c r="F136" s="69" t="str">
        <f>IF(C136=0,0,VLOOKUP(C136,[22]Регистрация!$B$7:$M$71,12,FALSE))</f>
        <v>Горбунов А.С.</v>
      </c>
      <c r="G136" s="13">
        <f>IF(C136=0,0,VLOOKUP(C136,[22]Регистрация!$B$7:$M$71,6,FALSE))</f>
        <v>30803</v>
      </c>
      <c r="H136" s="12">
        <f>IF(C136=0,0,VLOOKUP(C136,[22]Регистрация!$B$7:$M$71,8,FALSE))</f>
        <v>10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0.5" customHeight="1">
      <c r="A137" s="384" t="s">
        <v>688</v>
      </c>
      <c r="B137" s="385"/>
      <c r="C137" s="385"/>
      <c r="D137" s="385"/>
      <c r="E137" s="385"/>
      <c r="F137" s="385"/>
      <c r="G137" s="385"/>
      <c r="H137" s="38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0.5" customHeight="1">
      <c r="A138" s="9">
        <v>1</v>
      </c>
      <c r="B138" s="84"/>
      <c r="C138" s="84">
        <v>3</v>
      </c>
      <c r="D138" s="11" t="str">
        <f>IF(C138=0,0,CONCATENATE(VLOOKUP(C138,[23]Регистрация!$B$7:$M$71,3,FALSE)," ",VLOOKUP(C138,[23]Регистрация!$B$7:$M$71,4,FALSE)," ",VLOOKUP(C138,[23]Регистрация!$B$7:$M$71,5,FALSE)))</f>
        <v>Булычева Варвара Данииловна</v>
      </c>
      <c r="E138" s="69" t="str">
        <f>IF(C138=0,0,VLOOKUP(C138,[23]Регистрация!$B$7:$M$71,11,FALSE))</f>
        <v>Елец</v>
      </c>
      <c r="F138" s="69" t="str">
        <f>IF(C138=0,0,VLOOKUP(C138,[23]Регистрация!$B$7:$M$71,12,FALSE))</f>
        <v>Фомин Ю.Ю.</v>
      </c>
      <c r="G138" s="13">
        <f>IF(C138=0,0,VLOOKUP(C138,[23]Регистрация!$B$7:$M$71,6,FALSE))</f>
        <v>39024</v>
      </c>
      <c r="H138" s="12">
        <f>IF(C138=0,0,VLOOKUP(C138,[23]Регистрация!$B$7:$M$71,8,FALSE))</f>
        <v>9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0.5" customHeight="1">
      <c r="A139" s="9">
        <v>2</v>
      </c>
      <c r="B139" s="84"/>
      <c r="C139" s="84">
        <v>4</v>
      </c>
      <c r="D139" s="11" t="str">
        <f>IF(C139=0,0,CONCATENATE(VLOOKUP(C139,[23]Регистрация!$B$7:$M$71,3,FALSE)," ",VLOOKUP(C139,[23]Регистрация!$B$7:$M$71,4,FALSE)," ",VLOOKUP(C139,[23]Регистрация!$B$7:$M$71,5,FALSE)))</f>
        <v xml:space="preserve">Гулина  Полина </v>
      </c>
      <c r="E139" s="69" t="str">
        <f>IF(C139=0,0,VLOOKUP(C139,[23]Регистрация!$B$7:$M$71,11,FALSE))</f>
        <v>Елец</v>
      </c>
      <c r="F139" s="69" t="str">
        <f>IF(C139=0,0,VLOOKUP(C139,[23]Регистрация!$B$7:$M$71,12,FALSE))</f>
        <v>Бейк Е.В.</v>
      </c>
      <c r="G139" s="13">
        <f>IF(C139=0,0,VLOOKUP(C139,[23]Регистрация!$B$7:$M$71,6,FALSE))</f>
        <v>39400</v>
      </c>
      <c r="H139" s="12">
        <f>IF(C139=0,0,VLOOKUP(C139,[23]Регистрация!$B$7:$M$71,8,FALSE))</f>
        <v>10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0.5" customHeight="1">
      <c r="A140" s="9">
        <v>3</v>
      </c>
      <c r="B140" s="85"/>
      <c r="C140" s="85">
        <v>1</v>
      </c>
      <c r="D140" s="11" t="str">
        <f>IF(C140=0,0,CONCATENATE(VLOOKUP(C140,[23]Регистрация!$B$7:$M$71,3,FALSE)," ",VLOOKUP(C140,[23]Регистрация!$B$7:$M$71,4,FALSE)," ",VLOOKUP(C140,[23]Регистрация!$B$7:$M$71,5,FALSE)))</f>
        <v>Коршунова Юлия Валентиновна</v>
      </c>
      <c r="E140" s="69" t="str">
        <f>IF(C140=0,0,VLOOKUP(C140,[23]Регистрация!$B$7:$M$71,11,FALSE))</f>
        <v>Грязи</v>
      </c>
      <c r="F140" s="69" t="str">
        <f>IF(C140=0,0,VLOOKUP(C140,[23]Регистрация!$B$7:$M$71,12,FALSE))</f>
        <v>Козлов А.Э.</v>
      </c>
      <c r="G140" s="13">
        <f>IF(C140=0,0,VLOOKUP(C140,[23]Регистрация!$B$7:$M$71,6,FALSE))</f>
        <v>39229</v>
      </c>
      <c r="H140" s="12">
        <f>IF(C140=0,0,VLOOKUP(C140,[23]Регистрация!$B$7:$M$71,8,FALSE))</f>
        <v>9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0.5" customHeight="1">
      <c r="A141" s="9">
        <v>4</v>
      </c>
      <c r="B141" s="85"/>
      <c r="C141" s="85">
        <v>2</v>
      </c>
      <c r="D141" s="11" t="str">
        <f>IF(C141=0,0,CONCATENATE(VLOOKUP(C141,[23]Регистрация!$B$7:$M$71,3,FALSE)," ",VLOOKUP(C141,[23]Регистрация!$B$7:$M$71,4,FALSE)," ",VLOOKUP(C141,[23]Регистрация!$B$7:$M$71,5,FALSE)))</f>
        <v>Рычкова Ксения Сергеевна</v>
      </c>
      <c r="E141" s="69" t="str">
        <f>IF(C141=0,0,VLOOKUP(C141,[23]Регистрация!$B$7:$M$71,11,FALSE))</f>
        <v>Грязи</v>
      </c>
      <c r="F141" s="69" t="str">
        <f>IF(C141=0,0,VLOOKUP(C141,[23]Регистрация!$B$7:$M$71,12,FALSE))</f>
        <v>Козлов А.Э.</v>
      </c>
      <c r="G141" s="13">
        <f>IF(C141=0,0,VLOOKUP(C141,[23]Регистрация!$B$7:$M$71,6,FALSE))</f>
        <v>39321</v>
      </c>
      <c r="H141" s="12">
        <f>IF(C141=0,0,VLOOKUP(C141,[23]Регистрация!$B$7:$M$71,8,FALSE))</f>
        <v>9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0.5" customHeight="1">
      <c r="A142" s="384" t="s">
        <v>709</v>
      </c>
      <c r="B142" s="385"/>
      <c r="C142" s="385"/>
      <c r="D142" s="385"/>
      <c r="E142" s="385"/>
      <c r="F142" s="385"/>
      <c r="G142" s="385"/>
      <c r="H142" s="386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0.5" customHeight="1">
      <c r="A143" s="9">
        <v>1</v>
      </c>
      <c r="B143" s="3"/>
      <c r="C143" s="82">
        <v>4</v>
      </c>
      <c r="D143" s="11" t="str">
        <f>IF(C143=0,0,CONCATENATE(VLOOKUP(C143,[24]Регистрация!$B$7:$M$71,3,FALSE)," ",VLOOKUP(C143,[24]Регистрация!$B$7:$M$71,4,FALSE)," ",VLOOKUP(C143,[24]Регистрация!$B$7:$M$71,5,FALSE)))</f>
        <v>Гнездилова  Виктория Игоревна</v>
      </c>
      <c r="E143" s="69" t="str">
        <f>IF(C143=0,0,VLOOKUP(C143,[24]Регистрация!$B$7:$M$71,11,FALSE))</f>
        <v>Елец</v>
      </c>
      <c r="F143" s="69" t="str">
        <f>IF(C143=0,0,VLOOKUP(C143,[24]Регистрация!$B$7:$M$71,12,FALSE))</f>
        <v>Акопян А.В.</v>
      </c>
      <c r="G143" s="13">
        <f>IF(C143=0,0,VLOOKUP(C143,[24]Регистрация!$B$7:$M$71,6,FALSE))</f>
        <v>38858</v>
      </c>
      <c r="H143" s="12">
        <f>IF(C143=0,0,VLOOKUP(C143,[24]Регистрация!$B$7:$M$71,8,FALSE))</f>
        <v>8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0.5" customHeight="1">
      <c r="A144" s="9">
        <v>2</v>
      </c>
      <c r="B144" s="3"/>
      <c r="C144" s="82">
        <v>5</v>
      </c>
      <c r="D144" s="11" t="str">
        <f>IF(C144=0,0,CONCATENATE(VLOOKUP(C144,[24]Регистрация!$B$7:$M$71,3,FALSE)," ",VLOOKUP(C144,[24]Регистрация!$B$7:$M$71,4,FALSE)," ",VLOOKUP(C144,[24]Регистрация!$B$7:$M$71,5,FALSE)))</f>
        <v>Родина  Валерия Алексеевна</v>
      </c>
      <c r="E144" s="69" t="str">
        <f>IF(C144=0,0,VLOOKUP(C144,[24]Регистрация!$B$7:$M$71,11,FALSE))</f>
        <v>Елец</v>
      </c>
      <c r="F144" s="69" t="str">
        <f>IF(C144=0,0,VLOOKUP(C144,[24]Регистрация!$B$7:$M$71,12,FALSE))</f>
        <v>Акопян А.В.</v>
      </c>
      <c r="G144" s="13">
        <f>IF(C144=0,0,VLOOKUP(C144,[24]Регистрация!$B$7:$M$71,6,FALSE))</f>
        <v>38842</v>
      </c>
      <c r="H144" s="12">
        <f>IF(C144=0,0,VLOOKUP(C144,[24]Регистрация!$B$7:$M$71,8,FALSE))</f>
        <v>8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0.5" customHeight="1">
      <c r="A145" s="9">
        <v>3</v>
      </c>
      <c r="B145" s="3"/>
      <c r="C145" s="83">
        <v>6</v>
      </c>
      <c r="D145" s="11" t="str">
        <f>IF(C145=0,0,CONCATENATE(VLOOKUP(C145,[24]Регистрация!$B$7:$M$71,3,FALSE)," ",VLOOKUP(C145,[24]Регистрация!$B$7:$M$71,4,FALSE)," ",VLOOKUP(C145,[24]Регистрация!$B$7:$M$71,5,FALSE)))</f>
        <v>Ананьева Ульяна Алексеевна</v>
      </c>
      <c r="E145" s="69" t="str">
        <f>IF(C145=0,0,VLOOKUP(C145,[24]Регистрация!$B$7:$M$71,11,FALSE))</f>
        <v>Елец</v>
      </c>
      <c r="F145" s="69" t="str">
        <f>IF(C145=0,0,VLOOKUP(C145,[24]Регистрация!$B$7:$M$71,12,FALSE))</f>
        <v>Фомин Ю.Ю.</v>
      </c>
      <c r="G145" s="13">
        <f>IF(C145=0,0,VLOOKUP(C145,[24]Регистрация!$B$7:$M$71,6,FALSE))</f>
        <v>39150</v>
      </c>
      <c r="H145" s="12">
        <f>IF(C145=0,0,VLOOKUP(C145,[24]Регистрация!$B$7:$M$71,8,FALSE))</f>
        <v>8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0.5" customHeight="1">
      <c r="A146" s="9">
        <v>4</v>
      </c>
      <c r="B146" s="3"/>
      <c r="C146" s="83">
        <v>3</v>
      </c>
      <c r="D146" s="11" t="str">
        <f>IF(C146=0,0,CONCATENATE(VLOOKUP(C146,[24]Регистрация!$B$7:$M$71,3,FALSE)," ",VLOOKUP(C146,[24]Регистрация!$B$7:$M$71,4,FALSE)," ",VLOOKUP(C146,[24]Регистрация!$B$7:$M$71,5,FALSE)))</f>
        <v xml:space="preserve">Шинкоренко  Ульяна </v>
      </c>
      <c r="E146" s="69" t="str">
        <f>IF(C146=0,0,VLOOKUP(C146,[24]Регистрация!$B$7:$M$71,11,FALSE))</f>
        <v>Елец</v>
      </c>
      <c r="F146" s="69" t="str">
        <f>IF(C146=0,0,VLOOKUP(C146,[24]Регистрация!$B$7:$M$71,12,FALSE))</f>
        <v>Бейк Е.В.</v>
      </c>
      <c r="G146" s="13">
        <f>IF(C146=0,0,VLOOKUP(C146,[24]Регистрация!$B$7:$M$71,6,FALSE))</f>
        <v>39301</v>
      </c>
      <c r="H146" s="12">
        <f>IF(C146=0,0,VLOOKUP(C146,[24]Регистрация!$B$7:$M$71,8,FALSE))</f>
        <v>10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0.5" customHeight="1">
      <c r="A147" s="384" t="s">
        <v>710</v>
      </c>
      <c r="B147" s="385"/>
      <c r="C147" s="385"/>
      <c r="D147" s="385"/>
      <c r="E147" s="385"/>
      <c r="F147" s="385"/>
      <c r="G147" s="385"/>
      <c r="H147" s="386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0.5" customHeight="1">
      <c r="A148" s="9">
        <v>1</v>
      </c>
      <c r="B148" s="3"/>
      <c r="C148" s="84">
        <v>2</v>
      </c>
      <c r="D148" s="11" t="str">
        <f>IF(C148=0,0,CONCATENATE(VLOOKUP(C148,[25]Регистрация!$B$7:$M$71,3,FALSE)," ",VLOOKUP(C148,[25]Регистрация!$B$7:$M$71,4,FALSE)," ",VLOOKUP(C148,[25]Регистрация!$B$7:$M$71,5,FALSE)))</f>
        <v>Попова Ангела Геннадьевна</v>
      </c>
      <c r="E148" s="69" t="str">
        <f>IF(C148=0,0,VLOOKUP(C148,[25]Регистрация!$B$7:$M$71,11,FALSE))</f>
        <v>Тамбовская обл</v>
      </c>
      <c r="F148" s="69" t="str">
        <f>IF(C148=0,0,VLOOKUP(C148,[25]Регистрация!$B$7:$M$71,12,FALSE))</f>
        <v>Айриян А.И.</v>
      </c>
      <c r="G148" s="13">
        <f>IF(C148=0,0,VLOOKUP(C148,[25]Регистрация!$B$7:$M$71,6,FALSE))</f>
        <v>38842</v>
      </c>
      <c r="H148" s="12">
        <f>IF(C148=0,0,VLOOKUP(C148,[25]Регистрация!$B$7:$M$71,8,FALSE))</f>
        <v>9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0.5" customHeight="1">
      <c r="A149" s="9">
        <v>2</v>
      </c>
      <c r="B149" s="3"/>
      <c r="C149" s="84">
        <v>1</v>
      </c>
      <c r="D149" s="11" t="str">
        <f>IF(C149=0,0,CONCATENATE(VLOOKUP(C149,[25]Регистрация!$B$7:$M$71,3,FALSE)," ",VLOOKUP(C149,[25]Регистрация!$B$7:$M$71,4,FALSE)," ",VLOOKUP(C149,[25]Регистрация!$B$7:$M$71,5,FALSE)))</f>
        <v>Беленьких Любовь Александрович</v>
      </c>
      <c r="E149" s="69" t="str">
        <f>IF(C149=0,0,VLOOKUP(C149,[25]Регистрация!$B$7:$M$71,11,FALSE))</f>
        <v>Тамбовская обл</v>
      </c>
      <c r="F149" s="69" t="str">
        <f>IF(C149=0,0,VLOOKUP(C149,[25]Регистрация!$B$7:$M$71,12,FALSE))</f>
        <v>Антакова Е.В.</v>
      </c>
      <c r="G149" s="13">
        <f>IF(C149=0,0,VLOOKUP(C149,[25]Регистрация!$B$7:$M$71,6,FALSE))</f>
        <v>39215</v>
      </c>
      <c r="H149" s="12">
        <f>IF(C149=0,0,VLOOKUP(C149,[25]Регистрация!$B$7:$M$71,8,FALSE))</f>
        <v>8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0.5" customHeight="1">
      <c r="A150" s="9">
        <v>3</v>
      </c>
      <c r="B150" s="3"/>
      <c r="C150" s="85">
        <v>3</v>
      </c>
      <c r="D150" s="11" t="str">
        <f>IF(C150=0,0,CONCATENATE(VLOOKUP(C150,[25]Регистрация!$B$7:$M$71,3,FALSE)," ",VLOOKUP(C150,[25]Регистрация!$B$7:$M$71,4,FALSE)," ",VLOOKUP(C150,[25]Регистрация!$B$7:$M$71,5,FALSE)))</f>
        <v>Гаврилова  Таисия Антоновна</v>
      </c>
      <c r="E150" s="69" t="str">
        <f>IF(C150=0,0,VLOOKUP(C150,[25]Регистрация!$B$7:$M$71,11,FALSE))</f>
        <v>Тамбовская обл</v>
      </c>
      <c r="F150" s="69" t="str">
        <f>IF(C150=0,0,VLOOKUP(C150,[25]Регистрация!$B$7:$M$71,12,FALSE))</f>
        <v>Айриян А.И.</v>
      </c>
      <c r="G150" s="13">
        <f>IF(C150=0,0,VLOOKUP(C150,[25]Регистрация!$B$7:$M$71,6,FALSE))</f>
        <v>39262</v>
      </c>
      <c r="H150" s="12">
        <f>IF(C150=0,0,VLOOKUP(C150,[25]Регистрация!$B$7:$M$71,8,FALSE))</f>
        <v>9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0.5" customHeight="1">
      <c r="A151" s="9">
        <v>4</v>
      </c>
      <c r="B151" s="3"/>
      <c r="C151" s="85">
        <v>4</v>
      </c>
      <c r="D151" s="11" t="str">
        <f>IF(C151=0,0,CONCATENATE(VLOOKUP(C151,[25]Регистрация!$B$7:$M$71,3,FALSE)," ",VLOOKUP(C151,[25]Регистрация!$B$7:$M$71,4,FALSE)," ",VLOOKUP(C151,[25]Регистрация!$B$7:$M$71,5,FALSE)))</f>
        <v xml:space="preserve">Лузанова  Вероника  Владимировна </v>
      </c>
      <c r="E151" s="69" t="str">
        <f>IF(C151=0,0,VLOOKUP(C151,[25]Регистрация!$B$7:$M$71,11,FALSE))</f>
        <v>Россошь Сакура</v>
      </c>
      <c r="F151" s="69" t="str">
        <f>IF(C151=0,0,VLOOKUP(C151,[25]Регистрация!$B$7:$M$71,12,FALSE))</f>
        <v>Басова А.В.</v>
      </c>
      <c r="G151" s="13" t="str">
        <f>IF(C151=0,0,VLOOKUP(C151,[25]Регистрация!$B$7:$M$71,6,FALSE))</f>
        <v>02.09.2007.</v>
      </c>
      <c r="H151" s="12">
        <f>IF(C151=0,0,VLOOKUP(C151,[25]Регистрация!$B$7:$M$71,8,FALSE))</f>
        <v>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0.5" customHeight="1">
      <c r="A152" s="384" t="s">
        <v>711</v>
      </c>
      <c r="B152" s="385"/>
      <c r="C152" s="385"/>
      <c r="D152" s="385"/>
      <c r="E152" s="385"/>
      <c r="F152" s="385"/>
      <c r="G152" s="385"/>
      <c r="H152" s="386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0.5" customHeight="1">
      <c r="A153" s="9">
        <v>1</v>
      </c>
      <c r="B153" s="3"/>
      <c r="C153" s="84">
        <v>4</v>
      </c>
      <c r="D153" s="11" t="str">
        <f>IF(C153=0,0,CONCATENATE(VLOOKUP(C153,[26]Регистрация!$B$7:$M$71,3,FALSE)," ",VLOOKUP(C153,[26]Регистрация!$B$7:$M$71,4,FALSE)," ",VLOOKUP(C153,[26]Регистрация!$B$7:$M$71,5,FALSE)))</f>
        <v>Барханова Наталья Евгеньевна</v>
      </c>
      <c r="E153" s="69" t="str">
        <f>IF(C153=0,0,VLOOKUP(C153,[26]Регистрация!$B$7:$M$71,11,FALSE))</f>
        <v>Москва</v>
      </c>
      <c r="F153" s="69" t="str">
        <f>IF(C153=0,0,VLOOKUP(C153,[26]Регистрация!$B$7:$M$71,12,FALSE))</f>
        <v>Конышев С.В.</v>
      </c>
      <c r="G153" s="13">
        <f>IF(C153=0,0,VLOOKUP(C153,[26]Регистрация!$B$7:$M$71,6,FALSE))</f>
        <v>38484</v>
      </c>
      <c r="H153" s="12">
        <f>IF(C153=0,0,VLOOKUP(C153,[26]Регистрация!$B$7:$M$71,8,FALSE))</f>
        <v>9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0.5" customHeight="1">
      <c r="A154" s="9">
        <v>2</v>
      </c>
      <c r="B154" s="3"/>
      <c r="C154" s="84">
        <v>1</v>
      </c>
      <c r="D154" s="11" t="str">
        <f>IF(C154=0,0,CONCATENATE(VLOOKUP(C154,[26]Регистрация!$B$7:$M$71,3,FALSE)," ",VLOOKUP(C154,[26]Регистрация!$B$7:$M$71,4,FALSE)," ",VLOOKUP(C154,[26]Регистрация!$B$7:$M$71,5,FALSE)))</f>
        <v>Полкукарова  Анна  Романовна </v>
      </c>
      <c r="E154" s="69" t="str">
        <f>IF(C154=0,0,VLOOKUP(C154,[26]Регистрация!$B$7:$M$71,11,FALSE))</f>
        <v>Липецк Годзю-рю</v>
      </c>
      <c r="F154" s="69" t="str">
        <f>IF(C154=0,0,VLOOKUP(C154,[26]Регистрация!$B$7:$M$71,12,FALSE))</f>
        <v>Николаев Э.Б. </v>
      </c>
      <c r="G154" s="13" t="str">
        <f>IF(C154=0,0,VLOOKUP(C154,[26]Регистрация!$B$7:$M$71,6,FALSE))</f>
        <v>09.01.2006 </v>
      </c>
      <c r="H154" s="12" t="str">
        <f>IF(C154=0,0,VLOOKUP(C154,[26]Регистрация!$B$7:$M$71,8,FALSE))</f>
        <v>10 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0.5" customHeight="1">
      <c r="A155" s="9">
        <v>3</v>
      </c>
      <c r="B155" s="3"/>
      <c r="C155" s="85">
        <v>2</v>
      </c>
      <c r="D155" s="11" t="str">
        <f>IF(C155=0,0,CONCATENATE(VLOOKUP(C155,[26]Регистрация!$B$7:$M$71,3,FALSE)," ",VLOOKUP(C155,[26]Регистрация!$B$7:$M$71,4,FALSE)," ",VLOOKUP(C155,[26]Регистрация!$B$7:$M$71,5,FALSE)))</f>
        <v>Коршунова Ирина Валентиновна</v>
      </c>
      <c r="E155" s="69" t="str">
        <f>IF(C155=0,0,VLOOKUP(C155,[26]Регистрация!$B$7:$M$71,11,FALSE))</f>
        <v>Грязи</v>
      </c>
      <c r="F155" s="69" t="str">
        <f>IF(C155=0,0,VLOOKUP(C155,[26]Регистрация!$B$7:$M$71,12,FALSE))</f>
        <v>Козлов А.Э.</v>
      </c>
      <c r="G155" s="13">
        <f>IF(C155=0,0,VLOOKUP(C155,[26]Регистрация!$B$7:$M$71,6,FALSE))</f>
        <v>38249</v>
      </c>
      <c r="H155" s="12">
        <f>IF(C155=0,0,VLOOKUP(C155,[26]Регистрация!$B$7:$M$71,8,FALSE))</f>
        <v>8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0.5" customHeight="1">
      <c r="A156" s="9">
        <v>4</v>
      </c>
      <c r="B156" s="3"/>
      <c r="C156" s="85">
        <v>3</v>
      </c>
      <c r="D156" s="11" t="str">
        <f>IF(C156=0,0,CONCATENATE(VLOOKUP(C156,[26]Регистрация!$B$7:$M$71,3,FALSE)," ",VLOOKUP(C156,[26]Регистрация!$B$7:$M$71,4,FALSE)," ",VLOOKUP(C156,[26]Регистрация!$B$7:$M$71,5,FALSE)))</f>
        <v>Истомина Валерия Сергеевна</v>
      </c>
      <c r="E156" s="69" t="str">
        <f>IF(C156=0,0,VLOOKUP(C156,[26]Регистрация!$B$7:$M$71,11,FALSE))</f>
        <v>Грязи</v>
      </c>
      <c r="F156" s="69" t="str">
        <f>IF(C156=0,0,VLOOKUP(C156,[26]Регистрация!$B$7:$M$71,12,FALSE))</f>
        <v>Козлов А.Э.</v>
      </c>
      <c r="G156" s="13">
        <f>IF(C156=0,0,VLOOKUP(C156,[26]Регистрация!$B$7:$M$71,6,FALSE))</f>
        <v>38685</v>
      </c>
      <c r="H156" s="12">
        <f>IF(C156=0,0,VLOOKUP(C156,[26]Регистрация!$B$7:$M$71,8,FALSE))</f>
        <v>10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0.5" customHeight="1">
      <c r="A157" s="384" t="s">
        <v>247</v>
      </c>
      <c r="B157" s="385"/>
      <c r="C157" s="385"/>
      <c r="D157" s="385"/>
      <c r="E157" s="385"/>
      <c r="F157" s="385"/>
      <c r="G157" s="385"/>
      <c r="H157" s="386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0.5" customHeight="1">
      <c r="A158" s="9">
        <v>1</v>
      </c>
      <c r="B158" s="3"/>
      <c r="C158" s="84">
        <v>1</v>
      </c>
      <c r="D158" s="11" t="str">
        <f>IF(C158=0,0,CONCATENATE(VLOOKUP(C158,[27]Регистрация!$B$7:$M$71,3,FALSE)," ",VLOOKUP(C158,[27]Регистрация!$B$7:$M$71,4,FALSE)," ",VLOOKUP(C158,[27]Регистрация!$B$7:$M$71,5,FALSE)))</f>
        <v>Анохова Виктория Владиславовна</v>
      </c>
      <c r="E158" s="69" t="str">
        <f>IF(C158=0,0,VLOOKUP(C158,[27]Регистрация!$B$7:$M$71,11,FALSE))</f>
        <v>Елец</v>
      </c>
      <c r="F158" s="69" t="str">
        <f>IF(C158=0,0,VLOOKUP(C158,[27]Регистрация!$B$7:$M$71,12,FALSE))</f>
        <v>Фомин Ю.Ю.</v>
      </c>
      <c r="G158" s="13">
        <f>IF(C158=0,0,VLOOKUP(C158,[27]Регистрация!$B$7:$M$71,6,FALSE))</f>
        <v>38485</v>
      </c>
      <c r="H158" s="12">
        <f>IF(C158=0,0,VLOOKUP(C158,[27]Регистрация!$B$7:$M$71,8,FALSE))</f>
        <v>8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0.5" customHeight="1">
      <c r="A159" s="9">
        <v>2</v>
      </c>
      <c r="B159" s="3"/>
      <c r="C159" s="84">
        <v>2</v>
      </c>
      <c r="D159" s="11" t="str">
        <f>IF(C159=0,0,CONCATENATE(VLOOKUP(C159,[27]Регистрация!$B$7:$M$71,3,FALSE)," ",VLOOKUP(C159,[27]Регистрация!$B$7:$M$71,4,FALSE)," ",VLOOKUP(C159,[27]Регистрация!$B$7:$M$71,5,FALSE)))</f>
        <v>Маторина  Анастасия Евгеньевна</v>
      </c>
      <c r="E159" s="69" t="str">
        <f>IF(C159=0,0,VLOOKUP(C159,[27]Регистрация!$B$7:$M$71,11,FALSE))</f>
        <v>Тамбовская обл</v>
      </c>
      <c r="F159" s="69" t="str">
        <f>IF(C159=0,0,VLOOKUP(C159,[27]Регистрация!$B$7:$M$71,12,FALSE))</f>
        <v>Айриян А.И.</v>
      </c>
      <c r="G159" s="13">
        <f>IF(C159=0,0,VLOOKUP(C159,[27]Регистрация!$B$7:$M$71,6,FALSE))</f>
        <v>38182</v>
      </c>
      <c r="H159" s="12">
        <f>IF(C159=0,0,VLOOKUP(C159,[27]Регистрация!$B$7:$M$71,8,FALSE))</f>
        <v>6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0.5" customHeight="1">
      <c r="A160" s="9">
        <v>3</v>
      </c>
      <c r="B160" s="3"/>
      <c r="C160" s="85">
        <v>6</v>
      </c>
      <c r="D160" s="11" t="str">
        <f>IF(C160=0,0,CONCATENATE(VLOOKUP(C160,[27]Регистрация!$B$7:$M$71,3,FALSE)," ",VLOOKUP(C160,[27]Регистрация!$B$7:$M$71,4,FALSE)," ",VLOOKUP(C160,[27]Регистрация!$B$7:$M$71,5,FALSE)))</f>
        <v>Демьянова Дарья Юрьевна</v>
      </c>
      <c r="E160" s="69" t="str">
        <f>IF(C160=0,0,VLOOKUP(C160,[27]Регистрация!$B$7:$M$71,11,FALSE))</f>
        <v>Грязи</v>
      </c>
      <c r="F160" s="69" t="str">
        <f>IF(C160=0,0,VLOOKUP(C160,[27]Регистрация!$B$7:$M$71,12,FALSE))</f>
        <v>Попов И.В.</v>
      </c>
      <c r="G160" s="13">
        <f>IF(C160=0,0,VLOOKUP(C160,[27]Регистрация!$B$7:$M$71,6,FALSE))</f>
        <v>38411</v>
      </c>
      <c r="H160" s="12">
        <f>IF(C160=0,0,VLOOKUP(C160,[27]Регистрация!$B$7:$M$71,8,FALSE))</f>
        <v>6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0.5" customHeight="1">
      <c r="A161" s="9"/>
      <c r="B161" s="3"/>
      <c r="C161" s="85"/>
      <c r="D161" s="11"/>
      <c r="E161" s="69"/>
      <c r="F161" s="13"/>
      <c r="G161" s="13"/>
      <c r="H161" s="12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0.5" customHeight="1">
      <c r="A162" s="384" t="s">
        <v>248</v>
      </c>
      <c r="B162" s="385"/>
      <c r="C162" s="385"/>
      <c r="D162" s="385"/>
      <c r="E162" s="385"/>
      <c r="F162" s="385"/>
      <c r="G162" s="385"/>
      <c r="H162" s="38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0.5" customHeight="1">
      <c r="A163" s="9">
        <v>1</v>
      </c>
      <c r="B163" s="3"/>
      <c r="C163" s="84">
        <v>3</v>
      </c>
      <c r="D163" s="11" t="str">
        <f>IF(C163=0,0,CONCATENATE(VLOOKUP(C163,[28]Регистрация!$B$7:$M$71,3,FALSE)," ",VLOOKUP(C163,[28]Регистрация!$B$7:$M$71,4,FALSE)," ",VLOOKUP(C163,[28]Регистрация!$B$7:$M$71,5,FALSE)))</f>
        <v>Ландышева  Екатерина Сергеевна</v>
      </c>
      <c r="E163" s="69" t="str">
        <f>IF(C163=0,0,VLOOKUP(C163,[28]Регистрация!$B$7:$M$71,11,FALSE))</f>
        <v>Тамбовская обл</v>
      </c>
      <c r="F163" s="69" t="str">
        <f>IF(C163=0,0,VLOOKUP(C163,[28]Регистрация!$B$7:$M$71,12,FALSE))</f>
        <v>Айриян А.И.</v>
      </c>
      <c r="G163" s="13">
        <f>IF(C163=0,0,VLOOKUP(C163,[28]Регистрация!$B$7:$M$71,6,FALSE))</f>
        <v>37693</v>
      </c>
      <c r="H163" s="12">
        <f>IF(C163=0,0,VLOOKUP(C163,[28]Регистрация!$B$7:$M$71,8,FALSE))</f>
        <v>6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0.5" customHeight="1">
      <c r="A164" s="9">
        <v>2</v>
      </c>
      <c r="B164" s="3"/>
      <c r="C164" s="84">
        <v>6</v>
      </c>
      <c r="D164" s="11" t="str">
        <f>IF(C164=0,0,CONCATENATE(VLOOKUP(C164,[28]Регистрация!$B$7:$M$71,3,FALSE)," ",VLOOKUP(C164,[28]Регистрация!$B$7:$M$71,4,FALSE)," ",VLOOKUP(C164,[28]Регистрация!$B$7:$M$71,5,FALSE)))</f>
        <v>Лукина Вероника Александровна</v>
      </c>
      <c r="E164" s="69" t="str">
        <f>IF(C164=0,0,VLOOKUP(C164,[28]Регистрация!$B$7:$M$71,11,FALSE))</f>
        <v>Елец</v>
      </c>
      <c r="F164" s="69" t="str">
        <f>IF(C164=0,0,VLOOKUP(C164,[28]Регистрация!$B$7:$M$71,12,FALSE))</f>
        <v>Бейк Е.В.</v>
      </c>
      <c r="G164" s="13">
        <f>IF(C164=0,0,VLOOKUP(C164,[28]Регистрация!$B$7:$M$71,6,FALSE))</f>
        <v>37821</v>
      </c>
      <c r="H164" s="12">
        <f>IF(C164=0,0,VLOOKUP(C164,[28]Регистрация!$B$7:$M$71,8,FALSE))</f>
        <v>6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0.5" customHeight="1">
      <c r="A165" s="9">
        <v>3</v>
      </c>
      <c r="B165" s="3"/>
      <c r="C165" s="85">
        <v>1</v>
      </c>
      <c r="D165" s="11" t="str">
        <f>IF(C165=0,0,CONCATENATE(VLOOKUP(C165,[28]Регистрация!$B$7:$M$71,3,FALSE)," ",VLOOKUP(C165,[28]Регистрация!$B$7:$M$71,4,FALSE)," ",VLOOKUP(C165,[28]Регистрация!$B$7:$M$71,5,FALSE)))</f>
        <v>Загуменнова Алина Георгиевна</v>
      </c>
      <c r="E165" s="69" t="str">
        <f>IF(C165=0,0,VLOOKUP(C165,[28]Регистрация!$B$7:$M$71,11,FALSE))</f>
        <v>Тамбовская обл</v>
      </c>
      <c r="F165" s="69" t="str">
        <f>IF(C165=0,0,VLOOKUP(C165,[28]Регистрация!$B$7:$M$71,12,FALSE))</f>
        <v>Айриян А.И.</v>
      </c>
      <c r="G165" s="13">
        <f>IF(C165=0,0,VLOOKUP(C165,[28]Регистрация!$B$7:$M$71,6,FALSE))</f>
        <v>37931</v>
      </c>
      <c r="H165" s="12">
        <f>IF(C165=0,0,VLOOKUP(C165,[28]Регистрация!$B$7:$M$71,8,FALSE))</f>
        <v>8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0.5" customHeight="1">
      <c r="A166" s="9">
        <v>4</v>
      </c>
      <c r="B166" s="3"/>
      <c r="C166" s="85">
        <v>8</v>
      </c>
      <c r="D166" s="11" t="str">
        <f>IF(C166=0,0,CONCATENATE(VLOOKUP(C166,[28]Регистрация!$B$7:$M$71,3,FALSE)," ",VLOOKUP(C166,[28]Регистрация!$B$7:$M$71,4,FALSE)," ",VLOOKUP(C166,[28]Регистрация!$B$7:$M$71,5,FALSE)))</f>
        <v>Чернышова Юлия Михайловна</v>
      </c>
      <c r="E166" s="69" t="str">
        <f>IF(C166=0,0,VLOOKUP(C166,[28]Регистрация!$B$7:$M$71,11,FALSE))</f>
        <v>Грязи</v>
      </c>
      <c r="F166" s="69" t="str">
        <f>IF(C166=0,0,VLOOKUP(C166,[28]Регистрация!$B$7:$M$71,12,FALSE))</f>
        <v>Моисеев И.Н.</v>
      </c>
      <c r="G166" s="13">
        <f>IF(C166=0,0,VLOOKUP(C166,[28]Регистрация!$B$7:$M$71,6,FALSE))</f>
        <v>37898</v>
      </c>
      <c r="H166" s="12">
        <f>IF(C166=0,0,VLOOKUP(C166,[28]Регистрация!$B$7:$M$71,8,FALSE))</f>
        <v>7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0.5" customHeight="1">
      <c r="A167" s="384" t="s">
        <v>713</v>
      </c>
      <c r="B167" s="385"/>
      <c r="C167" s="385"/>
      <c r="D167" s="385"/>
      <c r="E167" s="385"/>
      <c r="F167" s="385"/>
      <c r="G167" s="385"/>
      <c r="H167" s="38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0.5" customHeight="1">
      <c r="A168" s="9">
        <v>1</v>
      </c>
      <c r="B168" s="3"/>
      <c r="C168" s="82">
        <v>7</v>
      </c>
      <c r="D168" s="11" t="str">
        <f>IF(C168=0,0,CONCATENATE(VLOOKUP(C168,[29]Регистрация!$B$7:$M$71,3,FALSE)," ",VLOOKUP(C168,[29]Регистрация!$B$7:$M$71,4,FALSE)," ",VLOOKUP(C168,[29]Регистрация!$B$7:$M$71,5,FALSE)))</f>
        <v>Шабалкина Елизавета Сергеевна</v>
      </c>
      <c r="E168" s="69" t="str">
        <f>IF(C168=0,0,VLOOKUP(C168,[29]Регистрация!$B$7:$M$71,11,FALSE))</f>
        <v>Москва</v>
      </c>
      <c r="F168" s="69" t="str">
        <f>IF(C168=0,0,VLOOKUP(C168,[29]Регистрация!$B$7:$M$71,12,FALSE))</f>
        <v>Анаян О.Г.</v>
      </c>
      <c r="G168" s="13">
        <f>IF(C168=0,0,VLOOKUP(C168,[29]Регистрация!$B$7:$M$71,6,FALSE))</f>
        <v>37832</v>
      </c>
      <c r="H168" s="12">
        <f>IF(C168=0,0,VLOOKUP(C168,[29]Регистрация!$B$7:$M$71,8,FALSE))</f>
        <v>8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0.5" customHeight="1">
      <c r="A169" s="9">
        <v>2</v>
      </c>
      <c r="B169" s="3"/>
      <c r="C169" s="82">
        <v>2</v>
      </c>
      <c r="D169" s="11" t="str">
        <f>IF(C169=0,0,CONCATENATE(VLOOKUP(C169,[29]Регистрация!$B$7:$M$71,3,FALSE)," ",VLOOKUP(C169,[29]Регистрация!$B$7:$M$71,4,FALSE)," ",VLOOKUP(C169,[29]Регистрация!$B$7:$M$71,5,FALSE)))</f>
        <v>Проскурякова  Алина Валерьевна</v>
      </c>
      <c r="E169" s="69" t="str">
        <f>IF(C169=0,0,VLOOKUP(C169,[29]Регистрация!$B$7:$M$71,11,FALSE))</f>
        <v>Тамбовская обл</v>
      </c>
      <c r="F169" s="69" t="str">
        <f>IF(C169=0,0,VLOOKUP(C169,[29]Регистрация!$B$7:$M$71,12,FALSE))</f>
        <v>Сафронов А.В.</v>
      </c>
      <c r="G169" s="13" t="str">
        <f>IF(C169=0,0,VLOOKUP(C169,[29]Регистрация!$B$7:$M$71,6,FALSE))</f>
        <v>05.04.2002 </v>
      </c>
      <c r="H169" s="12">
        <f>IF(C169=0,0,VLOOKUP(C169,[29]Регистрация!$B$7:$M$71,8,FALSE))</f>
        <v>2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0.5" customHeight="1">
      <c r="A170" s="9">
        <v>3</v>
      </c>
      <c r="B170" s="3"/>
      <c r="C170" s="83">
        <v>4</v>
      </c>
      <c r="D170" s="11" t="str">
        <f>IF(C170=0,0,CONCATENATE(VLOOKUP(C170,[29]Регистрация!$B$7:$M$71,3,FALSE)," ",VLOOKUP(C170,[29]Регистрация!$B$7:$M$71,4,FALSE)," ",VLOOKUP(C170,[29]Регистрация!$B$7:$M$71,5,FALSE)))</f>
        <v>Максимова  Алина Сергеевич</v>
      </c>
      <c r="E170" s="69" t="str">
        <f>IF(C170=0,0,VLOOKUP(C170,[29]Регистрация!$B$7:$M$71,11,FALSE))</f>
        <v>Тамбовская обл</v>
      </c>
      <c r="F170" s="69" t="str">
        <f>IF(C170=0,0,VLOOKUP(C170,[29]Регистрация!$B$7:$M$71,12,FALSE))</f>
        <v>Антакова Е.В.</v>
      </c>
      <c r="G170" s="13">
        <f>IF(C170=0,0,VLOOKUP(C170,[29]Регистрация!$B$7:$M$71,6,FALSE))</f>
        <v>37377</v>
      </c>
      <c r="H170" s="12">
        <f>IF(C170=0,0,VLOOKUP(C170,[29]Регистрация!$B$7:$M$71,8,FALSE))</f>
        <v>10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0.5" customHeight="1">
      <c r="A171" s="9">
        <v>4</v>
      </c>
      <c r="B171" s="3"/>
      <c r="C171" s="83">
        <v>1</v>
      </c>
      <c r="D171" s="11" t="str">
        <f>IF(C171=0,0,CONCATENATE(VLOOKUP(C171,[29]Регистрация!$B$7:$M$71,3,FALSE)," ",VLOOKUP(C171,[29]Регистрация!$B$7:$M$71,4,FALSE)," ",VLOOKUP(C171,[29]Регистрация!$B$7:$M$71,5,FALSE)))</f>
        <v>Гугнина  Виктория  Сергеевна </v>
      </c>
      <c r="E171" s="69" t="str">
        <f>IF(C171=0,0,VLOOKUP(C171,[29]Регистрация!$B$7:$M$71,11,FALSE))</f>
        <v>Липецк Годзю-рю</v>
      </c>
      <c r="F171" s="69" t="str">
        <f>IF(C171=0,0,VLOOKUP(C171,[29]Регистрация!$B$7:$M$71,12,FALSE))</f>
        <v>Николаев Э.Б. </v>
      </c>
      <c r="G171" s="13" t="str">
        <f>IF(C171=0,0,VLOOKUP(C171,[29]Регистрация!$B$7:$M$71,6,FALSE))</f>
        <v>26.01.2003 </v>
      </c>
      <c r="H171" s="12" t="str">
        <f>IF(C171=0,0,VLOOKUP(C171,[29]Регистрация!$B$7:$M$71,8,FALSE))</f>
        <v>7 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0.5" customHeight="1">
      <c r="A172" s="384" t="s">
        <v>712</v>
      </c>
      <c r="B172" s="385"/>
      <c r="C172" s="385"/>
      <c r="D172" s="385"/>
      <c r="E172" s="385"/>
      <c r="F172" s="385"/>
      <c r="G172" s="385"/>
      <c r="H172" s="386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0.5" customHeight="1">
      <c r="A173" s="9">
        <v>1</v>
      </c>
      <c r="B173" s="3"/>
      <c r="C173" s="84">
        <v>2</v>
      </c>
      <c r="D173" s="11" t="str">
        <f>IF(C173=0,0,CONCATENATE(VLOOKUP(C173,[30]Регистрация!$B$7:$M$71,3,FALSE)," ",VLOOKUP(C173,[30]Регистрация!$B$7:$M$71,4,FALSE)," ",VLOOKUP(C173,[30]Регистрация!$B$7:$M$71,5,FALSE)))</f>
        <v>Войкова Милена Александровна</v>
      </c>
      <c r="E173" s="69" t="str">
        <f>IF(C173=0,0,VLOOKUP(C173,[30]Регистрация!$B$7:$M$71,11,FALSE))</f>
        <v>Грязи</v>
      </c>
      <c r="F173" s="69" t="str">
        <f>IF(C173=0,0,VLOOKUP(C173,[30]Регистрация!$B$7:$M$71,12,FALSE))</f>
        <v>Моисеев И.Н.</v>
      </c>
      <c r="G173" s="13">
        <f>IF(C173=0,0,VLOOKUP(C173,[30]Регистрация!$B$7:$M$71,6,FALSE))</f>
        <v>36764</v>
      </c>
      <c r="H173" s="12">
        <f>IF(C173=0,0,VLOOKUP(C173,[30]Регистрация!$B$7:$M$71,8,FALSE))</f>
        <v>8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0.5" customHeight="1">
      <c r="A174" s="9">
        <v>2</v>
      </c>
      <c r="B174" s="3"/>
      <c r="C174" s="84">
        <v>1</v>
      </c>
      <c r="D174" s="11" t="str">
        <f>IF(C174=0,0,CONCATENATE(VLOOKUP(C174,[30]Регистрация!$B$7:$M$71,3,FALSE)," ",VLOOKUP(C174,[30]Регистрация!$B$7:$M$71,4,FALSE)," ",VLOOKUP(C174,[30]Регистрация!$B$7:$M$71,5,FALSE)))</f>
        <v>Селиверстова Алена Андреевна</v>
      </c>
      <c r="E174" s="69" t="str">
        <f>IF(C174=0,0,VLOOKUP(C174,[30]Регистрация!$B$7:$M$71,11,FALSE))</f>
        <v>Задонск</v>
      </c>
      <c r="F174" s="69" t="str">
        <f>IF(C174=0,0,VLOOKUP(C174,[30]Регистрация!$B$7:$M$71,12,FALSE))</f>
        <v>Лобеев А.А.</v>
      </c>
      <c r="G174" s="13">
        <f>IF(C174=0,0,VLOOKUP(C174,[30]Регистрация!$B$7:$M$71,6,FALSE))</f>
        <v>37397</v>
      </c>
      <c r="H174" s="12">
        <f>IF(C174=0,0,VLOOKUP(C174,[30]Регистрация!$B$7:$M$71,8,FALSE))</f>
        <v>0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0.5" customHeight="1">
      <c r="A175" s="9">
        <v>3</v>
      </c>
      <c r="B175" s="3"/>
      <c r="C175" s="85">
        <v>3</v>
      </c>
      <c r="D175" s="11" t="str">
        <f>IF(C175=0,0,CONCATENATE(VLOOKUP(C175,[30]Регистрация!$B$7:$M$71,3,FALSE)," ",VLOOKUP(C175,[30]Регистрация!$B$7:$M$71,4,FALSE)," ",VLOOKUP(C175,[30]Регистрация!$B$7:$M$71,5,FALSE)))</f>
        <v>Двуреченская  Арина Дмитриевна</v>
      </c>
      <c r="E175" s="69" t="str">
        <f>IF(C175=0,0,VLOOKUP(C175,[30]Регистрация!$B$7:$M$71,11,FALSE))</f>
        <v>Липецк IKO</v>
      </c>
      <c r="F175" s="69" t="str">
        <f>IF(C175=0,0,VLOOKUP(C175,[30]Регистрация!$B$7:$M$71,12,FALSE))</f>
        <v>Бедоян В.Г</v>
      </c>
      <c r="G175" s="13">
        <f>IF(C175=0,0,VLOOKUP(C175,[30]Регистрация!$B$7:$M$71,6,FALSE))</f>
        <v>37167</v>
      </c>
      <c r="H175" s="12">
        <f>IF(C175=0,0,VLOOKUP(C175,[30]Регистрация!$B$7:$M$71,8,FALSE))</f>
        <v>10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0.5" customHeight="1">
      <c r="A176" s="9">
        <v>4</v>
      </c>
      <c r="B176" s="3"/>
      <c r="C176" s="85">
        <v>4</v>
      </c>
      <c r="D176" s="11" t="str">
        <f>IF(C176=0,0,CONCATENATE(VLOOKUP(C176,[30]Регистрация!$B$7:$M$71,3,FALSE)," ",VLOOKUP(C176,[30]Регистрация!$B$7:$M$71,4,FALSE)," ",VLOOKUP(C176,[30]Регистрация!$B$7:$M$71,5,FALSE)))</f>
        <v>Иванникова Елизавета Алексеевна</v>
      </c>
      <c r="E176" s="69" t="str">
        <f>IF(C176=0,0,VLOOKUP(C176,[30]Регистрация!$B$7:$M$71,11,FALSE))</f>
        <v>Воронеж</v>
      </c>
      <c r="F176" s="69" t="str">
        <f>IF(C176=0,0,VLOOKUP(C176,[30]Регистрация!$B$7:$M$71,12,FALSE))</f>
        <v>Власов В.В.</v>
      </c>
      <c r="G176" s="13">
        <f>IF(C176=0,0,VLOOKUP(C176,[30]Регистрация!$B$7:$M$71,6,FALSE))</f>
        <v>36886</v>
      </c>
      <c r="H176" s="12">
        <f>IF(C176=0,0,VLOOKUP(C176,[30]Регистрация!$B$7:$M$71,8,FALSE))</f>
        <v>3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0.5" customHeight="1">
      <c r="A177" s="384" t="s">
        <v>714</v>
      </c>
      <c r="B177" s="385"/>
      <c r="C177" s="385"/>
      <c r="D177" s="385"/>
      <c r="E177" s="385"/>
      <c r="F177" s="385"/>
      <c r="G177" s="385"/>
      <c r="H177" s="38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0.5" customHeight="1">
      <c r="A178" s="9">
        <v>1</v>
      </c>
      <c r="B178" s="3"/>
      <c r="C178" s="84">
        <v>1</v>
      </c>
      <c r="D178" s="11" t="str">
        <f>IF(C178=0,0,CONCATENATE(VLOOKUP(C178,[31]Регистрация!$B$7:$M$71,3,FALSE)," ",VLOOKUP(C178,[31]Регистрация!$B$7:$M$71,4,FALSE)," ",VLOOKUP(C178,[31]Регистрация!$B$7:$M$71,5,FALSE)))</f>
        <v>Иванникова Екатерина Алексеевна</v>
      </c>
      <c r="E178" s="69" t="str">
        <f>IF(C178=0,0,VLOOKUP(C178,[31]Регистрация!$B$7:$M$71,11,FALSE))</f>
        <v>Воронеж</v>
      </c>
      <c r="F178" s="69" t="str">
        <f>IF(C178=0,0,VLOOKUP(C178,[31]Регистрация!$B$7:$M$71,12,FALSE))</f>
        <v>Власов В.В.</v>
      </c>
      <c r="G178" s="13">
        <f>IF(C178=0,0,VLOOKUP(C178,[31]Регистрация!$B$7:$M$71,6,FALSE))</f>
        <v>36073</v>
      </c>
      <c r="H178" s="12">
        <f>IF(C178=0,0,VLOOKUP(C178,[31]Регистрация!$B$7:$M$71,8,FALSE))</f>
        <v>3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0.5" customHeight="1">
      <c r="A179" s="9">
        <v>2</v>
      </c>
      <c r="B179" s="3"/>
      <c r="C179" s="84">
        <v>2</v>
      </c>
      <c r="D179" s="11" t="str">
        <f>IF(C179=0,0,CONCATENATE(VLOOKUP(C179,[31]Регистрация!$B$7:$M$71,3,FALSE)," ",VLOOKUP(C179,[31]Регистрация!$B$7:$M$71,4,FALSE)," ",VLOOKUP(C179,[31]Регистрация!$B$7:$M$71,5,FALSE)))</f>
        <v>Чиркова Анастасия Федоровна</v>
      </c>
      <c r="E179" s="69" t="str">
        <f>IF(C179=0,0,VLOOKUP(C179,[31]Регистрация!$B$7:$M$71,11,FALSE))</f>
        <v>Грязи</v>
      </c>
      <c r="F179" s="69" t="str">
        <f>IF(C179=0,0,VLOOKUP(C179,[31]Регистрация!$B$7:$M$71,12,FALSE))</f>
        <v>Попов И.В.</v>
      </c>
      <c r="G179" s="13">
        <f>IF(C179=0,0,VLOOKUP(C179,[31]Регистрация!$B$7:$M$71,6,FALSE))</f>
        <v>35905</v>
      </c>
      <c r="H179" s="12">
        <f>IF(C179=0,0,VLOOKUP(C179,[31]Регистрация!$B$7:$M$71,8,FALSE))</f>
        <v>7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0.5" customHeight="1">
      <c r="A180" s="9">
        <v>3</v>
      </c>
      <c r="B180" s="3"/>
      <c r="C180" s="85">
        <v>3</v>
      </c>
      <c r="D180" s="11" t="str">
        <f>IF(C180=0,0,CONCATENATE(VLOOKUP(C180,[31]Регистрация!$B$7:$M$71,3,FALSE)," ",VLOOKUP(C180,[31]Регистрация!$B$7:$M$71,4,FALSE)," ",VLOOKUP(C180,[31]Регистрация!$B$7:$M$71,5,FALSE)))</f>
        <v>Мхитарян  Анжела Жоровна</v>
      </c>
      <c r="E180" s="69" t="str">
        <f>IF(C180=0,0,VLOOKUP(C180,[31]Регистрация!$B$7:$M$71,11,FALSE))</f>
        <v>Россошь с\к Химик</v>
      </c>
      <c r="F180" s="69" t="str">
        <f>IF(C180=0,0,VLOOKUP(C180,[31]Регистрация!$B$7:$M$71,12,FALSE))</f>
        <v>Шилов Р.И.</v>
      </c>
      <c r="G180" s="13">
        <f>IF(C180=0,0,VLOOKUP(C180,[31]Регистрация!$B$7:$M$71,6,FALSE))</f>
        <v>35932</v>
      </c>
      <c r="H180" s="12">
        <f>IF(C180=0,0,VLOOKUP(C180,[31]Регистрация!$B$7:$M$71,8,FALSE))</f>
        <v>3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1.25" customHeight="1">
      <c r="A181" s="9">
        <v>4</v>
      </c>
      <c r="B181" s="3"/>
      <c r="C181" s="85">
        <v>4</v>
      </c>
      <c r="D181" s="11" t="str">
        <f>IF(C181=0,0,CONCATENATE(VLOOKUP(C181,[31]Регистрация!$B$7:$M$71,3,FALSE)," ",VLOOKUP(C181,[31]Регистрация!$B$7:$M$71,4,FALSE)," ",VLOOKUP(C181,[31]Регистрация!$B$7:$M$71,5,FALSE)))</f>
        <v>Лозовая Анжелика Витальевна</v>
      </c>
      <c r="E181" s="69" t="str">
        <f>IF(C181=0,0,VLOOKUP(C181,[31]Регистрация!$B$7:$M$71,11,FALSE))</f>
        <v>Россошь с\к Химик</v>
      </c>
      <c r="F181" s="69" t="str">
        <f>IF(C181=0,0,VLOOKUP(C181,[31]Регистрация!$B$7:$M$71,12,FALSE))</f>
        <v>Шилов Р.И.</v>
      </c>
      <c r="G181" s="13">
        <f>IF(C181=0,0,VLOOKUP(C181,[31]Регистрация!$B$7:$M$71,6,FALSE))</f>
        <v>36257</v>
      </c>
      <c r="H181" s="12">
        <f>IF(C181=0,0,VLOOKUP(C181,[31]Регистрация!$B$7:$M$71,8,FALSE))</f>
        <v>6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5" customHeight="1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5.25" customHeight="1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0.5" customHeight="1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5.25" customHeight="1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5" hidden="1" customHeight="1">
      <c r="A186" s="19"/>
      <c r="B186" s="19"/>
      <c r="C186" s="19"/>
      <c r="D186" s="10"/>
      <c r="E186" s="1"/>
      <c r="F186" s="1"/>
      <c r="G186" s="1"/>
      <c r="H186" s="1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20" ht="15" hidden="1" customHeight="1">
      <c r="A187" s="393"/>
      <c r="B187" s="393"/>
      <c r="C187" s="393"/>
      <c r="D187" s="393"/>
      <c r="E187" s="393"/>
      <c r="F187" s="393"/>
      <c r="G187" s="393"/>
      <c r="H187" s="393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20" ht="15" customHeight="1">
      <c r="A188" s="56" t="s">
        <v>26</v>
      </c>
      <c r="B188" s="56"/>
      <c r="C188" s="56"/>
      <c r="D188" s="62"/>
      <c r="E188" s="62"/>
      <c r="F188" s="258" t="s">
        <v>35</v>
      </c>
      <c r="G188" s="258"/>
      <c r="J188" s="392"/>
      <c r="K188" s="392"/>
      <c r="P188" s="4"/>
      <c r="Q188" s="4"/>
      <c r="R188" s="4"/>
    </row>
    <row r="189" spans="1:20" ht="15" customHeight="1">
      <c r="A189" s="60"/>
      <c r="B189" s="60"/>
      <c r="C189" s="60"/>
      <c r="D189" s="60"/>
      <c r="E189" s="57"/>
      <c r="F189" s="57"/>
      <c r="G189" s="57"/>
      <c r="H189" s="57"/>
      <c r="I189" s="54"/>
      <c r="J189" s="54"/>
      <c r="K189" s="73"/>
      <c r="L189" s="54"/>
      <c r="M189" s="54"/>
      <c r="P189" s="4"/>
      <c r="Q189" s="4"/>
      <c r="R189" s="4"/>
    </row>
    <row r="190" spans="1:20" ht="15" customHeight="1">
      <c r="A190" s="159" t="s">
        <v>27</v>
      </c>
      <c r="B190" s="159"/>
      <c r="C190" s="159"/>
      <c r="D190" s="63"/>
      <c r="E190" s="160"/>
      <c r="F190" s="258" t="s">
        <v>36</v>
      </c>
      <c r="G190" s="258"/>
      <c r="J190" s="54"/>
      <c r="P190" s="4"/>
      <c r="Q190" s="4"/>
      <c r="R190" s="4"/>
    </row>
    <row r="191" spans="1:20" ht="15" customHeight="1">
      <c r="A191" s="104"/>
      <c r="B191" s="104"/>
      <c r="C191" s="61"/>
      <c r="D191" s="106"/>
      <c r="E191" s="54"/>
      <c r="F191" s="57"/>
      <c r="G191" s="58"/>
      <c r="H191" s="59"/>
      <c r="I191" s="54"/>
      <c r="J191" s="54"/>
      <c r="K191" s="73"/>
      <c r="L191" s="54"/>
      <c r="M191" s="54"/>
      <c r="P191" s="4"/>
      <c r="Q191" s="4"/>
      <c r="R191" s="4"/>
    </row>
    <row r="192" spans="1:20">
      <c r="A192" s="159" t="s">
        <v>28</v>
      </c>
      <c r="B192" s="159"/>
      <c r="C192" s="159"/>
      <c r="D192" s="66"/>
      <c r="E192" s="67"/>
      <c r="F192" s="161"/>
      <c r="G192" s="56"/>
      <c r="J192" s="56"/>
      <c r="K192" s="72"/>
      <c r="L192" s="258"/>
      <c r="M192" s="258"/>
      <c r="P192" s="4"/>
      <c r="Q192" s="4"/>
      <c r="R192" s="4"/>
    </row>
    <row r="193" spans="1:18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>
      <c r="A245" s="4"/>
      <c r="B245" s="4"/>
      <c r="C245" s="4"/>
      <c r="D245" s="4"/>
      <c r="E245" s="4"/>
      <c r="F245" s="4"/>
      <c r="G245" s="4"/>
      <c r="H245" s="4"/>
    </row>
    <row r="246" spans="1:18">
      <c r="A246" s="4"/>
      <c r="B246" s="4"/>
      <c r="C246" s="4"/>
      <c r="D246" s="4"/>
      <c r="E246" s="4"/>
      <c r="F246" s="4"/>
      <c r="G246" s="4"/>
      <c r="H246" s="4"/>
    </row>
    <row r="247" spans="1:18">
      <c r="A247" s="4"/>
      <c r="B247" s="4"/>
      <c r="C247" s="4"/>
      <c r="D247" s="4"/>
      <c r="E247" s="4"/>
      <c r="F247" s="4"/>
      <c r="G247" s="4"/>
      <c r="H247" s="4"/>
    </row>
    <row r="248" spans="1:18">
      <c r="A248" s="4"/>
      <c r="B248" s="4"/>
      <c r="C248" s="4"/>
      <c r="D248" s="4"/>
      <c r="E248" s="4"/>
      <c r="F248" s="4"/>
      <c r="G248" s="4"/>
      <c r="H248" s="4"/>
    </row>
    <row r="249" spans="1:18">
      <c r="A249" s="4"/>
      <c r="B249" s="4"/>
      <c r="C249" s="4"/>
      <c r="D249" s="4"/>
      <c r="E249" s="4"/>
      <c r="F249" s="4"/>
      <c r="G249" s="4"/>
      <c r="H249" s="4"/>
    </row>
    <row r="250" spans="1:18" ht="15">
      <c r="A250" s="7"/>
      <c r="B250" s="7"/>
      <c r="C250" s="7"/>
      <c r="D250" s="7"/>
      <c r="E250" s="7"/>
      <c r="F250" s="7"/>
      <c r="G250" s="7"/>
      <c r="H250" s="7"/>
    </row>
    <row r="251" spans="1:18" ht="15">
      <c r="A251" s="7"/>
      <c r="B251" s="7"/>
      <c r="C251" s="7"/>
      <c r="D251" s="7"/>
      <c r="E251" s="7"/>
      <c r="F251" s="7"/>
      <c r="G251" s="7"/>
      <c r="H251" s="7"/>
    </row>
    <row r="252" spans="1:18" ht="15">
      <c r="A252" s="7"/>
      <c r="B252" s="7"/>
      <c r="C252" s="7"/>
      <c r="D252" s="7"/>
      <c r="E252" s="7"/>
      <c r="F252" s="7"/>
      <c r="G252" s="7"/>
      <c r="H252" s="7"/>
    </row>
    <row r="253" spans="1:18" ht="15">
      <c r="A253" s="7"/>
      <c r="B253" s="7"/>
      <c r="C253" s="7"/>
      <c r="D253" s="7"/>
      <c r="E253" s="7"/>
      <c r="F253" s="7"/>
      <c r="G253" s="7"/>
      <c r="H253" s="7"/>
    </row>
    <row r="254" spans="1:18" ht="15">
      <c r="A254" s="7"/>
      <c r="B254" s="7"/>
      <c r="C254" s="7"/>
      <c r="D254" s="7"/>
      <c r="E254" s="7"/>
      <c r="F254" s="7"/>
      <c r="G254" s="7"/>
      <c r="H254" s="7"/>
    </row>
  </sheetData>
  <sheetProtection formatCells="0" formatColumns="0" formatRows="0" sort="0"/>
  <mergeCells count="47">
    <mergeCell ref="F190:G190"/>
    <mergeCell ref="L192:M192"/>
    <mergeCell ref="J188:K188"/>
    <mergeCell ref="A172:H172"/>
    <mergeCell ref="A177:H177"/>
    <mergeCell ref="F188:G188"/>
    <mergeCell ref="A187:H187"/>
    <mergeCell ref="B3:E3"/>
    <mergeCell ref="B4:E4"/>
    <mergeCell ref="F4:G4"/>
    <mergeCell ref="G3:H3"/>
    <mergeCell ref="A1:H1"/>
    <mergeCell ref="A2:H2"/>
    <mergeCell ref="A167:H167"/>
    <mergeCell ref="A112:H112"/>
    <mergeCell ref="A137:H137"/>
    <mergeCell ref="A142:H142"/>
    <mergeCell ref="A147:H147"/>
    <mergeCell ref="A152:H152"/>
    <mergeCell ref="A117:H117"/>
    <mergeCell ref="A122:H122"/>
    <mergeCell ref="A127:H127"/>
    <mergeCell ref="A132:H132"/>
    <mergeCell ref="A102:H102"/>
    <mergeCell ref="A107:H107"/>
    <mergeCell ref="A157:H157"/>
    <mergeCell ref="A162:H162"/>
    <mergeCell ref="A87:H87"/>
    <mergeCell ref="A67:H67"/>
    <mergeCell ref="A77:H77"/>
    <mergeCell ref="A92:H92"/>
    <mergeCell ref="A97:H97"/>
    <mergeCell ref="A52:H52"/>
    <mergeCell ref="A57:H57"/>
    <mergeCell ref="A62:H62"/>
    <mergeCell ref="A72:H72"/>
    <mergeCell ref="A82:H82"/>
    <mergeCell ref="A5:H5"/>
    <mergeCell ref="A7:H7"/>
    <mergeCell ref="A12:H12"/>
    <mergeCell ref="A17:H17"/>
    <mergeCell ref="A22:H22"/>
    <mergeCell ref="A27:H27"/>
    <mergeCell ref="A32:H32"/>
    <mergeCell ref="A37:H37"/>
    <mergeCell ref="A42:H42"/>
    <mergeCell ref="A47:H47"/>
  </mergeCells>
  <pageMargins left="0.74" right="0.2" top="0.39" bottom="0.24" header="0.2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Регистрация 8-11</vt:lpstr>
      <vt:lpstr>Регистрация 12-18+</vt:lpstr>
      <vt:lpstr>Командный зачет</vt:lpstr>
      <vt:lpstr>Итоговый</vt:lpstr>
      <vt:lpstr>'Регистрация 12-18+'!_GoBack</vt:lpstr>
      <vt:lpstr>'Регистрация 8-11'!_GoBack</vt:lpstr>
      <vt:lpstr>'Регистрация 12-18+'!Заголовки_для_печати</vt:lpstr>
      <vt:lpstr>'Регистрация 8-11'!Заголовки_для_печати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СЭН'Э</dc:creator>
  <cp:lastModifiedBy>Admin</cp:lastModifiedBy>
  <cp:lastPrinted>2015-09-15T14:40:37Z</cp:lastPrinted>
  <dcterms:created xsi:type="dcterms:W3CDTF">2008-01-15T12:31:41Z</dcterms:created>
  <dcterms:modified xsi:type="dcterms:W3CDTF">2016-03-29T08:57:38Z</dcterms:modified>
</cp:coreProperties>
</file>